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 Op\Desktop\"/>
    </mc:Choice>
  </mc:AlternateContent>
  <bookViews>
    <workbookView xWindow="0" yWindow="1200" windowWidth="20130" windowHeight="11130"/>
  </bookViews>
  <sheets>
    <sheet name="Planilha preenchida" sheetId="12" r:id="rId1"/>
    <sheet name="Planilha em branco" sheetId="13" r:id="rId2"/>
    <sheet name="Plan2" sheetId="14" r:id="rId3"/>
  </sheets>
  <calcPr calcId="152511"/>
</workbook>
</file>

<file path=xl/calcChain.xml><?xml version="1.0" encoding="utf-8"?>
<calcChain xmlns="http://schemas.openxmlformats.org/spreadsheetml/2006/main">
  <c r="F11" i="12" l="1"/>
  <c r="E57" i="12" l="1"/>
  <c r="M56" i="12"/>
  <c r="L56" i="12"/>
  <c r="K56" i="12"/>
  <c r="J56" i="12"/>
  <c r="I56" i="12"/>
  <c r="H56" i="12"/>
  <c r="G56" i="12"/>
  <c r="F56" i="12"/>
  <c r="E56" i="12"/>
  <c r="E58" i="12" s="1"/>
  <c r="D56" i="12"/>
  <c r="C56" i="12"/>
  <c r="B56" i="12"/>
  <c r="N55" i="12"/>
  <c r="N56" i="12" l="1"/>
  <c r="P60" i="12"/>
  <c r="N60" i="12" l="1"/>
  <c r="N60" i="13"/>
  <c r="B9" i="13" l="1"/>
  <c r="L58" i="13"/>
  <c r="L59" i="13" s="1"/>
  <c r="H58" i="13"/>
  <c r="H59" i="13" s="1"/>
  <c r="D58" i="13"/>
  <c r="D59" i="13" s="1"/>
  <c r="M57" i="13"/>
  <c r="I57" i="13"/>
  <c r="E57" i="13"/>
  <c r="J56" i="13"/>
  <c r="F56" i="13"/>
  <c r="E56" i="13"/>
  <c r="E58" i="13"/>
  <c r="E59" i="13" s="1"/>
  <c r="N53" i="13"/>
  <c r="N52" i="13"/>
  <c r="M51" i="13"/>
  <c r="M55" i="13" s="1"/>
  <c r="L51" i="13"/>
  <c r="L55" i="13" s="1"/>
  <c r="K51" i="13"/>
  <c r="K55" i="13" s="1"/>
  <c r="J51" i="13"/>
  <c r="J55" i="13" s="1"/>
  <c r="I51" i="13"/>
  <c r="I55" i="13" s="1"/>
  <c r="H51" i="13"/>
  <c r="H55" i="13" s="1"/>
  <c r="G51" i="13"/>
  <c r="G55" i="13" s="1"/>
  <c r="F51" i="13"/>
  <c r="F55" i="13" s="1"/>
  <c r="E51" i="13"/>
  <c r="E55" i="13" s="1"/>
  <c r="D51" i="13"/>
  <c r="D55" i="13" s="1"/>
  <c r="C51" i="13"/>
  <c r="C55" i="13" s="1"/>
  <c r="B51" i="13"/>
  <c r="B55" i="13" s="1"/>
  <c r="M50" i="13"/>
  <c r="M54" i="13" s="1"/>
  <c r="L50" i="13"/>
  <c r="L54" i="13" s="1"/>
  <c r="K50" i="13"/>
  <c r="K54" i="13" s="1"/>
  <c r="J50" i="13"/>
  <c r="J54" i="13" s="1"/>
  <c r="I50" i="13"/>
  <c r="I54" i="13" s="1"/>
  <c r="H50" i="13"/>
  <c r="H54" i="13" s="1"/>
  <c r="G50" i="13"/>
  <c r="G54" i="13" s="1"/>
  <c r="F50" i="13"/>
  <c r="F54" i="13" s="1"/>
  <c r="E50" i="13"/>
  <c r="E54" i="13" s="1"/>
  <c r="D50" i="13"/>
  <c r="D54" i="13" s="1"/>
  <c r="C50" i="13"/>
  <c r="C54" i="13" s="1"/>
  <c r="B50" i="13"/>
  <c r="B54" i="13" s="1"/>
  <c r="N49" i="13"/>
  <c r="N48" i="13"/>
  <c r="N47" i="13"/>
  <c r="N46" i="13"/>
  <c r="N45" i="13"/>
  <c r="N44" i="13"/>
  <c r="N43" i="13"/>
  <c r="N42" i="13"/>
  <c r="M41" i="13"/>
  <c r="I41" i="13"/>
  <c r="E41" i="13"/>
  <c r="M56" i="13"/>
  <c r="L57" i="13"/>
  <c r="K58" i="13"/>
  <c r="K59" i="13" s="1"/>
  <c r="J58" i="13"/>
  <c r="J59" i="13" s="1"/>
  <c r="I56" i="13"/>
  <c r="H57" i="13"/>
  <c r="G58" i="13"/>
  <c r="G59" i="13" s="1"/>
  <c r="F58" i="13"/>
  <c r="F59" i="13" s="1"/>
  <c r="D57" i="13"/>
  <c r="C58" i="13"/>
  <c r="C59" i="13" s="1"/>
  <c r="N40" i="13"/>
  <c r="J34" i="13"/>
  <c r="J35" i="13" s="1"/>
  <c r="P33" i="13"/>
  <c r="N33" i="13"/>
  <c r="P32" i="13"/>
  <c r="N32" i="13"/>
  <c r="M26" i="13"/>
  <c r="M34" i="13" s="1"/>
  <c r="M35" i="13" s="1"/>
  <c r="L26" i="13"/>
  <c r="L34" i="13" s="1"/>
  <c r="L35" i="13" s="1"/>
  <c r="K26" i="13"/>
  <c r="K28" i="13" s="1"/>
  <c r="K29" i="13" s="1"/>
  <c r="J26" i="13"/>
  <c r="J28" i="13" s="1"/>
  <c r="J29" i="13" s="1"/>
  <c r="I26" i="13"/>
  <c r="I34" i="13" s="1"/>
  <c r="I35" i="13" s="1"/>
  <c r="H26" i="13"/>
  <c r="H28" i="13" s="1"/>
  <c r="H29" i="13" s="1"/>
  <c r="G26" i="13"/>
  <c r="G28" i="13" s="1"/>
  <c r="G29" i="13" s="1"/>
  <c r="E26" i="13"/>
  <c r="E34" i="13" s="1"/>
  <c r="E35" i="13" s="1"/>
  <c r="D26" i="13"/>
  <c r="D34" i="13" s="1"/>
  <c r="D35" i="13" s="1"/>
  <c r="C26" i="13"/>
  <c r="C28" i="13" s="1"/>
  <c r="C29" i="13" s="1"/>
  <c r="P25" i="13"/>
  <c r="N25" i="13"/>
  <c r="N24" i="13"/>
  <c r="P24" i="13"/>
  <c r="N23" i="13"/>
  <c r="P23" i="13"/>
  <c r="N22" i="13"/>
  <c r="P22" i="13"/>
  <c r="P21" i="13"/>
  <c r="N21" i="13"/>
  <c r="P20" i="13"/>
  <c r="N20" i="13"/>
  <c r="P19" i="13"/>
  <c r="N19" i="13"/>
  <c r="P18" i="13"/>
  <c r="N18" i="13"/>
  <c r="P17" i="13"/>
  <c r="N17" i="13"/>
  <c r="P16" i="13"/>
  <c r="N16" i="13"/>
  <c r="N15" i="13"/>
  <c r="P15" i="13"/>
  <c r="N14" i="13"/>
  <c r="P14" i="13"/>
  <c r="P13" i="13"/>
  <c r="N13" i="13"/>
  <c r="N12" i="13"/>
  <c r="B26" i="13"/>
  <c r="P11" i="13"/>
  <c r="N11" i="13"/>
  <c r="F26" i="13"/>
  <c r="M9" i="13"/>
  <c r="L9" i="13"/>
  <c r="K9" i="13"/>
  <c r="K27" i="13" s="1"/>
  <c r="J9" i="13"/>
  <c r="I9" i="13"/>
  <c r="I36" i="13" s="1"/>
  <c r="H9" i="13"/>
  <c r="G9" i="13"/>
  <c r="G27" i="13" s="1"/>
  <c r="E9" i="13"/>
  <c r="D9" i="13"/>
  <c r="D27" i="13" s="1"/>
  <c r="C9" i="13"/>
  <c r="P8" i="13"/>
  <c r="N8" i="13"/>
  <c r="F9" i="13"/>
  <c r="N4" i="13"/>
  <c r="I27" i="13" l="1"/>
  <c r="M36" i="13"/>
  <c r="C27" i="13"/>
  <c r="H27" i="13"/>
  <c r="L27" i="13"/>
  <c r="M27" i="13"/>
  <c r="E36" i="13"/>
  <c r="J36" i="13"/>
  <c r="E27" i="13"/>
  <c r="F27" i="13"/>
  <c r="N54" i="13"/>
  <c r="N55" i="13"/>
  <c r="F28" i="13"/>
  <c r="F29" i="13" s="1"/>
  <c r="F34" i="13"/>
  <c r="F35" i="13" s="1"/>
  <c r="N9" i="13"/>
  <c r="P9" i="13"/>
  <c r="O8" i="13" s="1"/>
  <c r="B27" i="13"/>
  <c r="B28" i="13"/>
  <c r="N26" i="13"/>
  <c r="B34" i="13"/>
  <c r="B36" i="13" s="1"/>
  <c r="P40" i="13"/>
  <c r="B56" i="13"/>
  <c r="N6" i="13"/>
  <c r="J27" i="13"/>
  <c r="E28" i="13"/>
  <c r="E29" i="13" s="1"/>
  <c r="I28" i="13"/>
  <c r="I29" i="13" s="1"/>
  <c r="M28" i="13"/>
  <c r="M29" i="13" s="1"/>
  <c r="C34" i="13"/>
  <c r="C35" i="13" s="1"/>
  <c r="G34" i="13"/>
  <c r="G35" i="13" s="1"/>
  <c r="K34" i="13"/>
  <c r="K35" i="13" s="1"/>
  <c r="D36" i="13"/>
  <c r="L36" i="13"/>
  <c r="B41" i="13"/>
  <c r="F41" i="13"/>
  <c r="J41" i="13"/>
  <c r="C56" i="13"/>
  <c r="G56" i="13"/>
  <c r="K56" i="13"/>
  <c r="B57" i="13"/>
  <c r="F57" i="13"/>
  <c r="J57" i="13"/>
  <c r="I58" i="13"/>
  <c r="I59" i="13" s="1"/>
  <c r="M58" i="13"/>
  <c r="M59" i="13" s="1"/>
  <c r="D28" i="13"/>
  <c r="D29" i="13" s="1"/>
  <c r="L28" i="13"/>
  <c r="L29" i="13" s="1"/>
  <c r="K36" i="13"/>
  <c r="N7" i="13"/>
  <c r="P12" i="13"/>
  <c r="H34" i="13"/>
  <c r="H35" i="13" s="1"/>
  <c r="C41" i="13"/>
  <c r="G41" i="13"/>
  <c r="K41" i="13"/>
  <c r="N50" i="13"/>
  <c r="D56" i="13"/>
  <c r="H56" i="13"/>
  <c r="L56" i="13"/>
  <c r="C57" i="13"/>
  <c r="G57" i="13"/>
  <c r="K57" i="13"/>
  <c r="B58" i="13"/>
  <c r="P6" i="13"/>
  <c r="P7" i="13"/>
  <c r="D41" i="13"/>
  <c r="H41" i="13"/>
  <c r="L41" i="13"/>
  <c r="N51" i="13"/>
  <c r="E59" i="12"/>
  <c r="F36" i="13" l="1"/>
  <c r="O6" i="13"/>
  <c r="O9" i="13" s="1"/>
  <c r="O7" i="13"/>
  <c r="G36" i="13"/>
  <c r="N57" i="13"/>
  <c r="H36" i="13"/>
  <c r="B59" i="13"/>
  <c r="N59" i="13" s="1"/>
  <c r="N58" i="13"/>
  <c r="P26" i="13"/>
  <c r="O12" i="13" s="1"/>
  <c r="C36" i="13"/>
  <c r="B29" i="13"/>
  <c r="N29" i="13" s="1"/>
  <c r="N28" i="13"/>
  <c r="N41" i="13"/>
  <c r="N56" i="13"/>
  <c r="N27" i="13"/>
  <c r="B35" i="13"/>
  <c r="N35" i="13" s="1"/>
  <c r="N34" i="13"/>
  <c r="P34" i="13"/>
  <c r="E54" i="12"/>
  <c r="N36" i="13" l="1"/>
  <c r="O25" i="13"/>
  <c r="O13" i="13"/>
  <c r="O17" i="13"/>
  <c r="O16" i="13"/>
  <c r="O11" i="13"/>
  <c r="O26" i="13" s="1"/>
  <c r="O21" i="13"/>
  <c r="O23" i="13"/>
  <c r="O22" i="13"/>
  <c r="O19" i="13"/>
  <c r="O24" i="13"/>
  <c r="O15" i="13"/>
  <c r="O18" i="13"/>
  <c r="O14" i="13"/>
  <c r="O20" i="13"/>
  <c r="C40" i="12"/>
  <c r="C58" i="12" l="1"/>
  <c r="C59" i="12" s="1"/>
  <c r="C57" i="12"/>
  <c r="C54" i="12"/>
  <c r="E41" i="12" l="1"/>
  <c r="B23" i="12" l="1"/>
  <c r="B22" i="12"/>
  <c r="B19" i="12"/>
  <c r="B14" i="12"/>
  <c r="B12" i="12"/>
  <c r="B7" i="12"/>
  <c r="M40" i="12" l="1"/>
  <c r="L40" i="12"/>
  <c r="K40" i="12"/>
  <c r="J40" i="12"/>
  <c r="I40" i="12"/>
  <c r="H40" i="12"/>
  <c r="G40" i="12"/>
  <c r="F40" i="12"/>
  <c r="D40" i="12"/>
  <c r="B40" i="12"/>
  <c r="F24" i="12"/>
  <c r="F17" i="12"/>
  <c r="F15" i="12"/>
  <c r="F14" i="12"/>
  <c r="F12" i="12"/>
  <c r="F6" i="12"/>
  <c r="I57" i="12" l="1"/>
  <c r="I58" i="12"/>
  <c r="F57" i="12"/>
  <c r="F58" i="12"/>
  <c r="J57" i="12"/>
  <c r="J58" i="12"/>
  <c r="M58" i="12"/>
  <c r="M57" i="12"/>
  <c r="G58" i="12"/>
  <c r="G59" i="12" s="1"/>
  <c r="G57" i="12"/>
  <c r="K58" i="12"/>
  <c r="K57" i="12"/>
  <c r="D58" i="12"/>
  <c r="D59" i="12" s="1"/>
  <c r="D57" i="12"/>
  <c r="B57" i="12"/>
  <c r="B58" i="12"/>
  <c r="H57" i="12"/>
  <c r="H58" i="12"/>
  <c r="L57" i="12"/>
  <c r="L58" i="12"/>
  <c r="H59" i="12"/>
  <c r="L59" i="12"/>
  <c r="I59" i="12"/>
  <c r="M59" i="12"/>
  <c r="F59" i="12"/>
  <c r="J59" i="12"/>
  <c r="K59" i="12"/>
  <c r="G54" i="12"/>
  <c r="K54" i="12"/>
  <c r="B54" i="12"/>
  <c r="H54" i="12"/>
  <c r="L54" i="12"/>
  <c r="D54" i="12"/>
  <c r="I54" i="12"/>
  <c r="M54" i="12"/>
  <c r="F54" i="12"/>
  <c r="J54" i="12"/>
  <c r="G41" i="12"/>
  <c r="C41" i="12"/>
  <c r="L41" i="12"/>
  <c r="I41" i="12"/>
  <c r="J41" i="12"/>
  <c r="M41" i="12"/>
  <c r="B41" i="12"/>
  <c r="K41" i="12"/>
  <c r="D41" i="12"/>
  <c r="F41" i="12"/>
  <c r="H41" i="12"/>
  <c r="C50" i="12"/>
  <c r="C52" i="12" s="1"/>
  <c r="D50" i="12"/>
  <c r="D52" i="12" s="1"/>
  <c r="E50" i="12"/>
  <c r="E52" i="12" s="1"/>
  <c r="F50" i="12"/>
  <c r="F52" i="12" s="1"/>
  <c r="G50" i="12"/>
  <c r="G52" i="12" s="1"/>
  <c r="H50" i="12"/>
  <c r="H52" i="12" s="1"/>
  <c r="I50" i="12"/>
  <c r="I52" i="12" s="1"/>
  <c r="J50" i="12"/>
  <c r="J52" i="12" s="1"/>
  <c r="K50" i="12"/>
  <c r="K52" i="12" s="1"/>
  <c r="L50" i="12"/>
  <c r="L52" i="12" s="1"/>
  <c r="M50" i="12"/>
  <c r="M52" i="12" s="1"/>
  <c r="B50" i="12"/>
  <c r="N41" i="12" l="1"/>
  <c r="N50" i="12"/>
  <c r="B52" i="12"/>
  <c r="N52" i="12" s="1"/>
  <c r="N45" i="12"/>
  <c r="N4" i="12"/>
  <c r="N6" i="12" l="1"/>
  <c r="N42" i="12" l="1"/>
  <c r="N43" i="12"/>
  <c r="N44" i="12"/>
  <c r="N46" i="12"/>
  <c r="N47" i="12"/>
  <c r="N48" i="12"/>
  <c r="N49" i="12"/>
  <c r="C51" i="12"/>
  <c r="C53" i="12" s="1"/>
  <c r="D51" i="12"/>
  <c r="D53" i="12" s="1"/>
  <c r="E51" i="12"/>
  <c r="E53" i="12" s="1"/>
  <c r="F51" i="12"/>
  <c r="F53" i="12" s="1"/>
  <c r="G51" i="12"/>
  <c r="G53" i="12" s="1"/>
  <c r="H51" i="12"/>
  <c r="H53" i="12" s="1"/>
  <c r="I51" i="12"/>
  <c r="I53" i="12" s="1"/>
  <c r="J51" i="12"/>
  <c r="J53" i="12" s="1"/>
  <c r="K51" i="12"/>
  <c r="K53" i="12" s="1"/>
  <c r="L51" i="12"/>
  <c r="L53" i="12" s="1"/>
  <c r="M51" i="12"/>
  <c r="M53" i="12" s="1"/>
  <c r="B51" i="12"/>
  <c r="B53" i="12" s="1"/>
  <c r="P33" i="12"/>
  <c r="P32" i="12"/>
  <c r="N32" i="12"/>
  <c r="N33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11" i="12"/>
  <c r="C26" i="12"/>
  <c r="C34" i="12" s="1"/>
  <c r="D26" i="12"/>
  <c r="D34" i="12" s="1"/>
  <c r="E26" i="12"/>
  <c r="E34" i="12" s="1"/>
  <c r="F26" i="12"/>
  <c r="F34" i="12" s="1"/>
  <c r="G26" i="12"/>
  <c r="H26" i="12"/>
  <c r="H34" i="12" s="1"/>
  <c r="I26" i="12"/>
  <c r="I34" i="12" s="1"/>
  <c r="J26" i="12"/>
  <c r="J34" i="12" s="1"/>
  <c r="K26" i="12"/>
  <c r="K34" i="12" s="1"/>
  <c r="L26" i="12"/>
  <c r="L34" i="12" s="1"/>
  <c r="M26" i="12"/>
  <c r="M34" i="12" s="1"/>
  <c r="M35" i="12" s="1"/>
  <c r="B26" i="12"/>
  <c r="B34" i="12" s="1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11" i="12"/>
  <c r="P7" i="12"/>
  <c r="P8" i="12"/>
  <c r="P6" i="12"/>
  <c r="N7" i="12"/>
  <c r="N8" i="12"/>
  <c r="C9" i="12"/>
  <c r="D9" i="12"/>
  <c r="E9" i="12"/>
  <c r="E36" i="12" s="1"/>
  <c r="F9" i="12"/>
  <c r="G9" i="12"/>
  <c r="H9" i="12"/>
  <c r="I9" i="12"/>
  <c r="I36" i="12" s="1"/>
  <c r="J9" i="12"/>
  <c r="K9" i="12"/>
  <c r="K36" i="12" s="1"/>
  <c r="L9" i="12"/>
  <c r="M9" i="12"/>
  <c r="M36" i="12" s="1"/>
  <c r="B9" i="12"/>
  <c r="B36" i="12" s="1"/>
  <c r="F36" i="12" l="1"/>
  <c r="L27" i="12"/>
  <c r="L36" i="12"/>
  <c r="D27" i="12"/>
  <c r="D36" i="12"/>
  <c r="G27" i="12"/>
  <c r="C27" i="12"/>
  <c r="C36" i="12"/>
  <c r="J27" i="12"/>
  <c r="J36" i="12"/>
  <c r="H27" i="12"/>
  <c r="H36" i="12"/>
  <c r="K27" i="12"/>
  <c r="F27" i="12"/>
  <c r="B27" i="12"/>
  <c r="M27" i="12"/>
  <c r="I27" i="12"/>
  <c r="E27" i="12"/>
  <c r="I35" i="12"/>
  <c r="E35" i="12"/>
  <c r="B35" i="12"/>
  <c r="J35" i="12"/>
  <c r="F35" i="12"/>
  <c r="K35" i="12"/>
  <c r="G28" i="12"/>
  <c r="G29" i="12" s="1"/>
  <c r="C35" i="12"/>
  <c r="L35" i="12"/>
  <c r="H35" i="12"/>
  <c r="D35" i="12"/>
  <c r="C28" i="12"/>
  <c r="C29" i="12" s="1"/>
  <c r="G34" i="12"/>
  <c r="G35" i="12" s="1"/>
  <c r="K28" i="12"/>
  <c r="K29" i="12" s="1"/>
  <c r="N53" i="12"/>
  <c r="N51" i="12"/>
  <c r="J28" i="12"/>
  <c r="J29" i="12" s="1"/>
  <c r="L28" i="12"/>
  <c r="L29" i="12" s="1"/>
  <c r="H28" i="12"/>
  <c r="H29" i="12" s="1"/>
  <c r="D28" i="12"/>
  <c r="D29" i="12" s="1"/>
  <c r="P40" i="12"/>
  <c r="B28" i="12"/>
  <c r="F28" i="12"/>
  <c r="F29" i="12" s="1"/>
  <c r="N40" i="12"/>
  <c r="M28" i="12"/>
  <c r="M29" i="12" s="1"/>
  <c r="I28" i="12"/>
  <c r="I29" i="12" s="1"/>
  <c r="E28" i="12"/>
  <c r="E29" i="12" s="1"/>
  <c r="N26" i="12"/>
  <c r="P9" i="12"/>
  <c r="O6" i="12" s="1"/>
  <c r="N9" i="12"/>
  <c r="P26" i="12"/>
  <c r="G36" i="12" l="1"/>
  <c r="N36" i="12" s="1"/>
  <c r="N27" i="12"/>
  <c r="P34" i="12"/>
  <c r="N35" i="12"/>
  <c r="N57" i="12"/>
  <c r="N34" i="12"/>
  <c r="N54" i="12"/>
  <c r="B59" i="12"/>
  <c r="N59" i="12" s="1"/>
  <c r="N58" i="12"/>
  <c r="N28" i="12"/>
  <c r="B29" i="12"/>
  <c r="N29" i="12" s="1"/>
  <c r="O8" i="12"/>
  <c r="O7" i="12"/>
  <c r="O23" i="12"/>
  <c r="O19" i="12"/>
  <c r="O15" i="12"/>
  <c r="O11" i="12"/>
  <c r="O20" i="12"/>
  <c r="O16" i="12"/>
  <c r="O22" i="12"/>
  <c r="O18" i="12"/>
  <c r="O14" i="12"/>
  <c r="O25" i="12"/>
  <c r="O21" i="12"/>
  <c r="O17" i="12"/>
  <c r="O13" i="12"/>
  <c r="O24" i="12"/>
  <c r="O12" i="12"/>
  <c r="O9" i="12" l="1"/>
  <c r="O26" i="12"/>
</calcChain>
</file>

<file path=xl/comments1.xml><?xml version="1.0" encoding="utf-8"?>
<comments xmlns="http://schemas.openxmlformats.org/spreadsheetml/2006/main">
  <authors>
    <author>Embrapa</author>
    <author>Sérgio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Embrapa:</t>
        </r>
        <r>
          <rPr>
            <sz val="9"/>
            <color indexed="81"/>
            <rFont val="Tahoma"/>
            <family val="2"/>
          </rPr>
          <t xml:space="preserve">
venda de 2 vovilhas a 1600,00 cada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Embrapa:</t>
        </r>
        <r>
          <rPr>
            <sz val="9"/>
            <color indexed="81"/>
            <rFont val="Tahoma"/>
            <family val="2"/>
          </rPr>
          <t xml:space="preserve">
venda de 1 tonelada de esterco</t>
        </r>
      </text>
    </comment>
    <comment ref="F13" authorId="1" shapeId="0">
      <text>
        <r>
          <rPr>
            <b/>
            <sz val="9"/>
            <color indexed="81"/>
            <rFont val="Tahoma"/>
            <family val="2"/>
          </rPr>
          <t>Sérgio:</t>
        </r>
        <r>
          <rPr>
            <sz val="9"/>
            <color indexed="81"/>
            <rFont val="Tahoma"/>
            <family val="2"/>
          </rPr>
          <t xml:space="preserve">
- 40,00 para casa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Embrapa:</t>
        </r>
        <r>
          <rPr>
            <sz val="9"/>
            <color indexed="81"/>
            <rFont val="Tahoma"/>
            <family val="2"/>
          </rPr>
          <t xml:space="preserve">
4 bezerros(as) x 3,5 litros x 31 dias x R$ 1,07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Embrapa:</t>
        </r>
        <r>
          <rPr>
            <sz val="9"/>
            <color indexed="81"/>
            <rFont val="Tahoma"/>
            <family val="2"/>
          </rPr>
          <t xml:space="preserve">
semên, nitrogênio, hormônio, itens relacionados a reprodução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</rPr>
          <t>Embrapa:</t>
        </r>
        <r>
          <rPr>
            <sz val="9"/>
            <color indexed="81"/>
            <rFont val="Tahoma"/>
            <family val="2"/>
          </rPr>
          <t xml:space="preserve">
3 x sal min (880 reais)</t>
        </r>
      </text>
    </comment>
    <comment ref="B33" authorId="1" shapeId="0">
      <text>
        <r>
          <rPr>
            <b/>
            <sz val="9"/>
            <color indexed="81"/>
            <rFont val="Tahoma"/>
            <family val="2"/>
          </rPr>
          <t>Sérgio:</t>
        </r>
        <r>
          <rPr>
            <sz val="9"/>
            <color indexed="81"/>
            <rFont val="Tahoma"/>
            <family val="2"/>
          </rPr>
          <t xml:space="preserve">
soma depreciaçoes anuais : 12 = </t>
        </r>
      </text>
    </comment>
    <comment ref="M44" authorId="0" shapeId="0">
      <text>
        <r>
          <rPr>
            <b/>
            <sz val="9"/>
            <color indexed="81"/>
            <rFont val="Tahoma"/>
            <family val="2"/>
          </rPr>
          <t>Embrapa:</t>
        </r>
        <r>
          <rPr>
            <sz val="9"/>
            <color indexed="81"/>
            <rFont val="Tahoma"/>
            <family val="2"/>
          </rPr>
          <t xml:space="preserve">
Atualização de cálculos, entrada das bezerras do seu João.</t>
        </r>
      </text>
    </comment>
    <comment ref="M46" authorId="0" shapeId="0">
      <text>
        <r>
          <rPr>
            <b/>
            <sz val="9"/>
            <color indexed="81"/>
            <rFont val="Tahoma"/>
            <family val="2"/>
          </rPr>
          <t>Embrapa:</t>
        </r>
        <r>
          <rPr>
            <sz val="9"/>
            <color indexed="81"/>
            <rFont val="Tahoma"/>
            <family val="2"/>
          </rPr>
          <t xml:space="preserve">
Mortalidade de uma bezerra.</t>
        </r>
      </text>
    </comment>
  </commentList>
</comments>
</file>

<file path=xl/comments2.xml><?xml version="1.0" encoding="utf-8"?>
<comments xmlns="http://schemas.openxmlformats.org/spreadsheetml/2006/main">
  <authors>
    <author>Embrapa</author>
  </authors>
  <commentList>
    <comment ref="A22" authorId="0" shapeId="0">
      <text>
        <r>
          <rPr>
            <b/>
            <sz val="9"/>
            <color indexed="81"/>
            <rFont val="Tahoma"/>
            <family val="2"/>
          </rPr>
          <t>Embrapa:</t>
        </r>
        <r>
          <rPr>
            <sz val="9"/>
            <color indexed="81"/>
            <rFont val="Tahoma"/>
            <family val="2"/>
          </rPr>
          <t xml:space="preserve">
semên, nitrogênio, hormônio, itens relacionados a reprodução</t>
        </r>
      </text>
    </comment>
  </commentList>
</comments>
</file>

<file path=xl/sharedStrings.xml><?xml version="1.0" encoding="utf-8"?>
<sst xmlns="http://schemas.openxmlformats.org/spreadsheetml/2006/main" count="187" uniqueCount="82">
  <si>
    <t>total</t>
  </si>
  <si>
    <t>méd</t>
  </si>
  <si>
    <t>%</t>
  </si>
  <si>
    <t>Outros</t>
  </si>
  <si>
    <t>Material de consumo</t>
  </si>
  <si>
    <t>Sanidade e medicam.</t>
  </si>
  <si>
    <t>Combustivel</t>
  </si>
  <si>
    <t>Itens</t>
  </si>
  <si>
    <t>Rebanho</t>
  </si>
  <si>
    <t>% vacas em lactação</t>
  </si>
  <si>
    <t>Leite / vacas lactação</t>
  </si>
  <si>
    <t>Novilhas</t>
  </si>
  <si>
    <t>Vacas secas</t>
  </si>
  <si>
    <t>Vacas lactação</t>
  </si>
  <si>
    <t>Touro</t>
  </si>
  <si>
    <t>Bois de carros</t>
  </si>
  <si>
    <t>Bezerras 1 a 2 anos</t>
  </si>
  <si>
    <t>Pasto</t>
  </si>
  <si>
    <t>Concentrados e sal</t>
  </si>
  <si>
    <t>Telefone e internet</t>
  </si>
  <si>
    <t>Diferença preço-custo</t>
  </si>
  <si>
    <t xml:space="preserve">Impostos </t>
  </si>
  <si>
    <t>Despesas</t>
  </si>
  <si>
    <t>Total das Despesas</t>
  </si>
  <si>
    <t>Preço recebido</t>
  </si>
  <si>
    <t>Leite para bezerros/as</t>
  </si>
  <si>
    <t>Custos Operacional Total</t>
  </si>
  <si>
    <t>Dados anuais</t>
  </si>
  <si>
    <t>Custo por litro</t>
  </si>
  <si>
    <t>Indicadores Técnicos</t>
  </si>
  <si>
    <t xml:space="preserve">Planilhas de dados para propriedades Leiteiras - Período:   /  /      Propriedade: </t>
  </si>
  <si>
    <t>Volumoso (cana, milho, feno, silagem, palma, etc)</t>
  </si>
  <si>
    <t xml:space="preserve">Indicadores Econômico-Financeiro   Dados mensais </t>
  </si>
  <si>
    <t>Custo Operacional Total/litro</t>
  </si>
  <si>
    <t>% de vacas no rebanho</t>
  </si>
  <si>
    <t>Energia elétrica</t>
  </si>
  <si>
    <t>Mão obra eventual</t>
  </si>
  <si>
    <t>Mão obra fixa</t>
  </si>
  <si>
    <t>Mão de obra familiar</t>
  </si>
  <si>
    <t>Mortes</t>
  </si>
  <si>
    <t>Manutenção de benfeitorias e equipamentos</t>
  </si>
  <si>
    <t xml:space="preserve">Reprodução </t>
  </si>
  <si>
    <t>Total de vacas</t>
  </si>
  <si>
    <t>Venda de leite</t>
  </si>
  <si>
    <t>Venda de animais</t>
  </si>
  <si>
    <t>Outras vendas</t>
  </si>
  <si>
    <t>Vendas</t>
  </si>
  <si>
    <t>Total de Vendas</t>
  </si>
  <si>
    <t>Produção diária</t>
  </si>
  <si>
    <t>Produção mensal</t>
  </si>
  <si>
    <r>
      <t xml:space="preserve">Bezerros/as mamando - </t>
    </r>
    <r>
      <rPr>
        <sz val="9"/>
        <rFont val="Arial"/>
        <family val="2"/>
      </rPr>
      <t>aleitamento natural ou artificial</t>
    </r>
  </si>
  <si>
    <r>
      <t xml:space="preserve">Bezerros/as desmamados </t>
    </r>
    <r>
      <rPr>
        <sz val="9"/>
        <rFont val="Arial"/>
        <family val="2"/>
      </rPr>
      <t>- até 1 ano</t>
    </r>
  </si>
  <si>
    <t>Reposições do patrimônio e investimento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</si>
  <si>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</si>
  <si>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</si>
  <si>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</si>
  <si>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</si>
  <si>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</si>
  <si>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</si>
  <si>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</si>
  <si>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</si>
  <si>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</si>
  <si>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</si>
  <si>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</si>
  <si>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</si>
  <si>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Investimentos e mão de obra familiar</t>
  </si>
  <si>
    <t>Mão de obra do mês</t>
  </si>
  <si>
    <t>Área mensal da atividade (há)</t>
  </si>
  <si>
    <t>Leite / MO / mês</t>
  </si>
  <si>
    <t>Observações</t>
  </si>
  <si>
    <t>Margem Líquida</t>
  </si>
  <si>
    <r>
      <t xml:space="preserve">Vendas - despesas </t>
    </r>
    <r>
      <rPr>
        <sz val="9"/>
        <rFont val="Arial"/>
        <family val="2"/>
      </rPr>
      <t>(M. bruta)</t>
    </r>
  </si>
  <si>
    <t>Leite/área/mês</t>
  </si>
  <si>
    <t>Leite/área/ano</t>
  </si>
  <si>
    <t>Área mensal da atividade (ha)</t>
  </si>
  <si>
    <t>Leite / MO / dia</t>
  </si>
  <si>
    <t>média</t>
  </si>
  <si>
    <r>
      <t xml:space="preserve">Vendas - despesas </t>
    </r>
    <r>
      <rPr>
        <sz val="9"/>
        <rFont val="Arial"/>
        <family val="2"/>
      </rPr>
      <t>(M. Bruta)</t>
    </r>
  </si>
  <si>
    <t xml:space="preserve">Intervalo de partos </t>
  </si>
  <si>
    <t>(meses)</t>
  </si>
  <si>
    <t>Duração da lactação</t>
  </si>
  <si>
    <t>Observações: Para download das fichas em branco de controle da atividade leiteira clique aqui.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</si>
</sst>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R$ &quot;#,##0.00_);[Red]\(&quot;R$ &quot;#,##0.00\)"/>
    <numFmt numFmtId="165" formatCode="0.0"/>
    <numFmt numFmtId="166" formatCode="0.000"/>
    <numFmt numFmtId="167" formatCode="#,##0.000"/>
    <numFmt numFmtId="168" formatCode="0;[Red]0"/>
    <numFmt numFmtId="169" formatCode="0_ ;\-0\ "/>
  </numFmts>
  <fonts count="27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6"/>
      <name val="Arial"/>
      <family val="2"/>
    </font>
    <font>
      <sz val="10"/>
      <color rgb="FF262F13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0.5"/>
      <name val="Arial"/>
      <family val="2"/>
    </font>
    <font>
      <b/>
      <sz val="10"/>
      <color rgb="FFFF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u/>
      <sz val="12"/>
      <color theme="10"/>
      <name val="Arial"/>
      <family val="2"/>
    </font>
  </fonts>
  <fills count="18">
    <fill>
      <patternFill patternType="none"/>
    </fill>
    <fill>
      <patternFill patternType="gray125"/>
    </fill>
    <fill>
      <patternFill patternType="lightUp"/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lightUp">
        <bgColor theme="0" tint="-0.14996795556505021"/>
      </patternFill>
    </fill>
    <fill>
      <patternFill patternType="lightUp">
        <bgColor theme="0" tint="-0.14993743705557422"/>
      </patternFill>
    </fill>
    <fill>
      <patternFill patternType="solid">
        <fgColor rgb="FF92D05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lightUp"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277">
    <xf numFmtId="0" fontId="0" fillId="0" borderId="0" xfId="0"/>
    <xf numFmtId="0" fontId="22" fillId="0" borderId="3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" fontId="15" fillId="8" borderId="3" xfId="0" applyNumberFormat="1" applyFont="1" applyFill="1" applyBorder="1" applyAlignment="1" applyProtection="1">
      <alignment vertical="center"/>
    </xf>
    <xf numFmtId="165" fontId="15" fillId="8" borderId="3" xfId="2" applyNumberFormat="1" applyFont="1" applyFill="1" applyBorder="1" applyAlignment="1" applyProtection="1">
      <alignment vertical="center"/>
    </xf>
    <xf numFmtId="165" fontId="1" fillId="8" borderId="3" xfId="2" applyNumberFormat="1" applyFont="1" applyFill="1" applyBorder="1" applyAlignment="1" applyProtection="1">
      <alignment vertical="center"/>
    </xf>
    <xf numFmtId="1" fontId="1" fillId="8" borderId="3" xfId="0" applyNumberFormat="1" applyFont="1" applyFill="1" applyBorder="1" applyAlignment="1" applyProtection="1">
      <alignment vertical="center"/>
    </xf>
    <xf numFmtId="0" fontId="6" fillId="3" borderId="15" xfId="0" applyFont="1" applyFill="1" applyBorder="1" applyAlignment="1" applyProtection="1">
      <alignment vertical="center"/>
    </xf>
    <xf numFmtId="0" fontId="6" fillId="3" borderId="16" xfId="0" applyFont="1" applyFill="1" applyBorder="1" applyAlignment="1" applyProtection="1">
      <alignment vertical="center"/>
    </xf>
    <xf numFmtId="165" fontId="6" fillId="8" borderId="6" xfId="0" applyNumberFormat="1" applyFont="1" applyFill="1" applyBorder="1" applyAlignment="1" applyProtection="1">
      <alignment horizontal="center" vertical="center"/>
    </xf>
    <xf numFmtId="0" fontId="10" fillId="8" borderId="6" xfId="2" applyFont="1" applyFill="1" applyBorder="1" applyAlignment="1" applyProtection="1">
      <alignment horizontal="center" vertical="center"/>
    </xf>
    <xf numFmtId="1" fontId="6" fillId="8" borderId="7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vertical="center"/>
    </xf>
    <xf numFmtId="166" fontId="1" fillId="0" borderId="3" xfId="0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166" fontId="15" fillId="8" borderId="5" xfId="0" applyNumberFormat="1" applyFont="1" applyFill="1" applyBorder="1" applyAlignment="1" applyProtection="1">
      <alignment vertical="center"/>
    </xf>
    <xf numFmtId="0" fontId="16" fillId="10" borderId="5" xfId="2" applyFont="1" applyFill="1" applyBorder="1" applyAlignment="1" applyProtection="1">
      <alignment vertical="center"/>
    </xf>
    <xf numFmtId="0" fontId="17" fillId="10" borderId="5" xfId="0" applyFont="1" applyFill="1" applyBorder="1" applyAlignment="1" applyProtection="1">
      <alignment vertical="center"/>
    </xf>
    <xf numFmtId="0" fontId="6" fillId="11" borderId="3" xfId="1" applyFont="1" applyFill="1" applyBorder="1" applyAlignment="1" applyProtection="1">
      <alignment vertical="center"/>
    </xf>
    <xf numFmtId="1" fontId="1" fillId="11" borderId="3" xfId="1" applyNumberFormat="1" applyFont="1" applyFill="1" applyBorder="1" applyAlignment="1" applyProtection="1">
      <alignment vertical="center"/>
    </xf>
    <xf numFmtId="0" fontId="6" fillId="12" borderId="3" xfId="0" applyFont="1" applyFill="1" applyBorder="1" applyAlignment="1" applyProtection="1">
      <alignment vertical="center"/>
    </xf>
    <xf numFmtId="1" fontId="1" fillId="12" borderId="3" xfId="0" applyNumberFormat="1" applyFont="1" applyFill="1" applyBorder="1" applyAlignment="1" applyProtection="1">
      <alignment vertical="center"/>
    </xf>
    <xf numFmtId="1" fontId="15" fillId="12" borderId="3" xfId="0" applyNumberFormat="1" applyFont="1" applyFill="1" applyBorder="1" applyAlignment="1" applyProtection="1">
      <alignment vertical="center"/>
    </xf>
    <xf numFmtId="165" fontId="1" fillId="12" borderId="3" xfId="0" applyNumberFormat="1" applyFont="1" applyFill="1" applyBorder="1" applyAlignment="1" applyProtection="1">
      <alignment horizontal="center" vertical="center"/>
    </xf>
    <xf numFmtId="0" fontId="6" fillId="13" borderId="3" xfId="0" applyFont="1" applyFill="1" applyBorder="1" applyAlignment="1" applyProtection="1">
      <alignment vertical="center"/>
    </xf>
    <xf numFmtId="1" fontId="1" fillId="0" borderId="3" xfId="0" applyNumberFormat="1" applyFont="1" applyBorder="1" applyProtection="1"/>
    <xf numFmtId="165" fontId="1" fillId="14" borderId="3" xfId="0" applyNumberFormat="1" applyFont="1" applyFill="1" applyBorder="1" applyAlignment="1" applyProtection="1">
      <alignment horizontal="center" vertical="center"/>
    </xf>
    <xf numFmtId="1" fontId="1" fillId="14" borderId="3" xfId="0" applyNumberFormat="1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166" fontId="1" fillId="0" borderId="3" xfId="0" applyNumberFormat="1" applyFont="1" applyFill="1" applyBorder="1" applyProtection="1"/>
    <xf numFmtId="166" fontId="15" fillId="8" borderId="3" xfId="0" applyNumberFormat="1" applyFont="1" applyFill="1" applyBorder="1" applyAlignment="1" applyProtection="1">
      <alignment vertical="center"/>
    </xf>
    <xf numFmtId="166" fontId="2" fillId="9" borderId="3" xfId="2" applyNumberFormat="1" applyFont="1" applyFill="1" applyBorder="1" applyAlignment="1" applyProtection="1">
      <alignment vertical="center"/>
    </xf>
    <xf numFmtId="166" fontId="3" fillId="9" borderId="3" xfId="0" applyNumberFormat="1" applyFont="1" applyFill="1" applyBorder="1" applyAlignment="1" applyProtection="1">
      <alignment vertical="center"/>
    </xf>
    <xf numFmtId="0" fontId="0" fillId="2" borderId="3" xfId="0" applyFill="1" applyBorder="1" applyProtection="1"/>
    <xf numFmtId="1" fontId="1" fillId="8" borderId="3" xfId="0" applyNumberFormat="1" applyFont="1" applyFill="1" applyBorder="1" applyProtection="1"/>
    <xf numFmtId="0" fontId="6" fillId="4" borderId="3" xfId="0" applyFont="1" applyFill="1" applyBorder="1" applyAlignment="1" applyProtection="1">
      <alignment vertical="center"/>
    </xf>
    <xf numFmtId="0" fontId="1" fillId="0" borderId="3" xfId="1" applyFont="1" applyFill="1" applyBorder="1" applyAlignment="1" applyProtection="1">
      <alignment vertical="center"/>
    </xf>
    <xf numFmtId="0" fontId="13" fillId="0" borderId="0" xfId="1" applyFont="1" applyFill="1" applyBorder="1" applyAlignment="1" applyProtection="1">
      <alignment vertical="center"/>
    </xf>
    <xf numFmtId="0" fontId="0" fillId="0" borderId="0" xfId="0" applyAlignment="1" applyProtection="1"/>
    <xf numFmtId="0" fontId="6" fillId="3" borderId="12" xfId="0" applyFont="1" applyFill="1" applyBorder="1" applyAlignment="1" applyProtection="1">
      <alignment vertical="center"/>
    </xf>
    <xf numFmtId="1" fontId="6" fillId="8" borderId="17" xfId="0" applyNumberFormat="1" applyFont="1" applyFill="1" applyBorder="1" applyAlignment="1" applyProtection="1">
      <alignment horizontal="center" vertical="center"/>
    </xf>
    <xf numFmtId="1" fontId="6" fillId="9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Protection="1"/>
    <xf numFmtId="1" fontId="1" fillId="0" borderId="3" xfId="2" applyNumberFormat="1" applyFont="1" applyFill="1" applyBorder="1" applyProtection="1"/>
    <xf numFmtId="0" fontId="7" fillId="0" borderId="3" xfId="0" applyFont="1" applyFill="1" applyBorder="1" applyProtection="1"/>
    <xf numFmtId="165" fontId="1" fillId="0" borderId="3" xfId="2" applyNumberFormat="1" applyFont="1" applyFill="1" applyBorder="1" applyProtection="1"/>
    <xf numFmtId="164" fontId="6" fillId="0" borderId="3" xfId="0" applyNumberFormat="1" applyFont="1" applyFill="1" applyBorder="1" applyProtection="1"/>
    <xf numFmtId="0" fontId="0" fillId="0" borderId="3" xfId="0" applyBorder="1"/>
    <xf numFmtId="0" fontId="0" fillId="2" borderId="3" xfId="0" applyFill="1" applyBorder="1"/>
    <xf numFmtId="165" fontId="18" fillId="8" borderId="3" xfId="1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wrapText="1"/>
    </xf>
    <xf numFmtId="3" fontId="3" fillId="2" borderId="3" xfId="0" applyNumberFormat="1" applyFont="1" applyFill="1" applyBorder="1" applyProtection="1"/>
    <xf numFmtId="167" fontId="1" fillId="0" borderId="3" xfId="0" applyNumberFormat="1" applyFont="1" applyFill="1" applyBorder="1" applyProtection="1"/>
    <xf numFmtId="167" fontId="15" fillId="8" borderId="3" xfId="0" applyNumberFormat="1" applyFont="1" applyFill="1" applyBorder="1" applyAlignment="1" applyProtection="1">
      <alignment vertical="center"/>
    </xf>
    <xf numFmtId="164" fontId="20" fillId="0" borderId="3" xfId="0" applyNumberFormat="1" applyFont="1" applyFill="1" applyBorder="1" applyProtection="1"/>
    <xf numFmtId="0" fontId="3" fillId="0" borderId="3" xfId="0" applyFont="1" applyBorder="1"/>
    <xf numFmtId="164" fontId="20" fillId="0" borderId="0" xfId="0" applyNumberFormat="1" applyFont="1" applyFill="1" applyBorder="1" applyProtection="1"/>
    <xf numFmtId="0" fontId="3" fillId="0" borderId="0" xfId="0" applyFont="1" applyBorder="1"/>
    <xf numFmtId="0" fontId="3" fillId="0" borderId="0" xfId="0" applyFont="1" applyFill="1" applyBorder="1"/>
    <xf numFmtId="165" fontId="15" fillId="0" borderId="0" xfId="0" applyNumberFormat="1" applyFont="1" applyFill="1" applyBorder="1" applyAlignment="1" applyProtection="1">
      <alignment vertical="center"/>
    </xf>
    <xf numFmtId="0" fontId="0" fillId="0" borderId="0" xfId="0" applyBorder="1"/>
    <xf numFmtId="1" fontId="15" fillId="15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3" fontId="3" fillId="2" borderId="0" xfId="0" applyNumberFormat="1" applyFont="1" applyFill="1" applyBorder="1" applyProtection="1"/>
    <xf numFmtId="168" fontId="15" fillId="8" borderId="3" xfId="0" applyNumberFormat="1" applyFont="1" applyFill="1" applyBorder="1" applyAlignment="1" applyProtection="1">
      <alignment vertical="center"/>
    </xf>
    <xf numFmtId="1" fontId="15" fillId="8" borderId="5" xfId="0" applyNumberFormat="1" applyFont="1" applyFill="1" applyBorder="1" applyAlignment="1" applyProtection="1">
      <alignment vertical="center"/>
    </xf>
    <xf numFmtId="1" fontId="3" fillId="2" borderId="5" xfId="0" applyNumberFormat="1" applyFont="1" applyFill="1" applyBorder="1" applyProtection="1"/>
    <xf numFmtId="1" fontId="1" fillId="8" borderId="5" xfId="0" applyNumberFormat="1" applyFont="1" applyFill="1" applyBorder="1" applyProtection="1"/>
    <xf numFmtId="1" fontId="3" fillId="2" borderId="3" xfId="0" applyNumberFormat="1" applyFont="1" applyFill="1" applyBorder="1" applyProtection="1"/>
    <xf numFmtId="1" fontId="1" fillId="4" borderId="3" xfId="0" applyNumberFormat="1" applyFont="1" applyFill="1" applyBorder="1" applyProtection="1"/>
    <xf numFmtId="0" fontId="1" fillId="0" borderId="18" xfId="1" applyFont="1" applyFill="1" applyBorder="1" applyAlignment="1" applyProtection="1">
      <alignment vertical="center"/>
    </xf>
    <xf numFmtId="168" fontId="1" fillId="0" borderId="19" xfId="0" applyNumberFormat="1" applyFont="1" applyFill="1" applyBorder="1" applyProtection="1"/>
    <xf numFmtId="0" fontId="14" fillId="5" borderId="3" xfId="0" applyFont="1" applyFill="1" applyBorder="1" applyAlignment="1" applyProtection="1">
      <alignment vertical="center"/>
      <protection locked="0"/>
    </xf>
    <xf numFmtId="1" fontId="14" fillId="5" borderId="3" xfId="0" applyNumberFormat="1" applyFont="1" applyFill="1" applyBorder="1" applyAlignment="1" applyProtection="1">
      <alignment vertical="center"/>
      <protection locked="0"/>
    </xf>
    <xf numFmtId="0" fontId="11" fillId="6" borderId="3" xfId="0" applyFont="1" applyFill="1" applyBorder="1" applyAlignment="1" applyProtection="1">
      <alignment vertical="center"/>
      <protection locked="0"/>
    </xf>
    <xf numFmtId="1" fontId="11" fillId="6" borderId="3" xfId="0" applyNumberFormat="1" applyFont="1" applyFill="1" applyBorder="1" applyProtection="1">
      <protection locked="0"/>
    </xf>
    <xf numFmtId="1" fontId="11" fillId="6" borderId="3" xfId="0" applyNumberFormat="1" applyFont="1" applyFill="1" applyBorder="1" applyAlignment="1" applyProtection="1">
      <alignment vertical="center"/>
      <protection locked="0"/>
    </xf>
    <xf numFmtId="1" fontId="12" fillId="6" borderId="3" xfId="0" applyNumberFormat="1" applyFont="1" applyFill="1" applyBorder="1" applyAlignment="1" applyProtection="1">
      <alignment vertical="center"/>
      <protection locked="0"/>
    </xf>
    <xf numFmtId="0" fontId="11" fillId="6" borderId="3" xfId="0" applyFont="1" applyFill="1" applyBorder="1" applyAlignment="1" applyProtection="1">
      <alignment vertical="center" wrapText="1"/>
      <protection locked="0"/>
    </xf>
    <xf numFmtId="1" fontId="12" fillId="6" borderId="3" xfId="1" applyNumberFormat="1" applyFont="1" applyFill="1" applyBorder="1" applyAlignment="1" applyProtection="1">
      <alignment vertical="center"/>
      <protection locked="0"/>
    </xf>
    <xf numFmtId="0" fontId="12" fillId="6" borderId="3" xfId="1" applyFont="1" applyFill="1" applyBorder="1" applyAlignment="1" applyProtection="1">
      <alignment vertical="center" wrapText="1"/>
      <protection locked="0"/>
    </xf>
    <xf numFmtId="0" fontId="4" fillId="7" borderId="3" xfId="0" applyFont="1" applyFill="1" applyBorder="1" applyAlignment="1" applyProtection="1">
      <alignment vertical="center"/>
      <protection locked="0"/>
    </xf>
    <xf numFmtId="1" fontId="4" fillId="7" borderId="5" xfId="0" applyNumberFormat="1" applyFont="1" applyFill="1" applyBorder="1" applyAlignment="1" applyProtection="1">
      <alignment vertical="center"/>
      <protection locked="0"/>
    </xf>
    <xf numFmtId="0" fontId="4" fillId="7" borderId="3" xfId="0" applyFont="1" applyFill="1" applyBorder="1" applyAlignment="1" applyProtection="1">
      <alignment vertical="center" wrapText="1"/>
      <protection locked="0"/>
    </xf>
    <xf numFmtId="1" fontId="4" fillId="7" borderId="3" xfId="0" applyNumberFormat="1" applyFont="1" applyFill="1" applyBorder="1" applyAlignment="1" applyProtection="1">
      <alignment vertical="center"/>
      <protection locked="0"/>
    </xf>
    <xf numFmtId="1" fontId="3" fillId="0" borderId="3" xfId="2" applyNumberFormat="1" applyFont="1" applyFill="1" applyBorder="1" applyProtection="1">
      <protection locked="0"/>
    </xf>
    <xf numFmtId="1" fontId="3" fillId="0" borderId="3" xfId="0" applyNumberFormat="1" applyFont="1" applyFill="1" applyBorder="1" applyProtection="1">
      <protection locked="0"/>
    </xf>
    <xf numFmtId="1" fontId="1" fillId="0" borderId="3" xfId="0" applyNumberFormat="1" applyFont="1" applyFill="1" applyBorder="1" applyProtection="1"/>
    <xf numFmtId="1" fontId="14" fillId="5" borderId="0" xfId="0" applyNumberFormat="1" applyFont="1" applyFill="1" applyBorder="1" applyAlignment="1" applyProtection="1">
      <alignment vertical="center"/>
      <protection locked="0"/>
    </xf>
    <xf numFmtId="1" fontId="14" fillId="5" borderId="23" xfId="0" applyNumberFormat="1" applyFont="1" applyFill="1" applyBorder="1" applyAlignment="1" applyProtection="1">
      <alignment vertical="center"/>
      <protection locked="0"/>
    </xf>
    <xf numFmtId="1" fontId="14" fillId="5" borderId="22" xfId="0" applyNumberFormat="1" applyFont="1" applyFill="1" applyBorder="1" applyAlignment="1" applyProtection="1">
      <alignment vertical="center"/>
      <protection locked="0"/>
    </xf>
    <xf numFmtId="1" fontId="14" fillId="5" borderId="24" xfId="0" applyNumberFormat="1" applyFont="1" applyFill="1" applyBorder="1" applyAlignment="1" applyProtection="1">
      <alignment vertical="center"/>
      <protection locked="0"/>
    </xf>
    <xf numFmtId="0" fontId="6" fillId="0" borderId="26" xfId="0" applyFont="1" applyFill="1" applyBorder="1" applyAlignment="1" applyProtection="1">
      <alignment vertical="center"/>
    </xf>
    <xf numFmtId="165" fontId="6" fillId="8" borderId="16" xfId="0" applyNumberFormat="1" applyFont="1" applyFill="1" applyBorder="1" applyAlignment="1" applyProtection="1">
      <alignment horizontal="center" vertical="center"/>
    </xf>
    <xf numFmtId="166" fontId="1" fillId="0" borderId="1" xfId="0" applyNumberFormat="1" applyFont="1" applyFill="1" applyBorder="1" applyAlignment="1" applyProtection="1">
      <alignment vertical="center"/>
    </xf>
    <xf numFmtId="166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0" fillId="8" borderId="16" xfId="2" applyFont="1" applyFill="1" applyBorder="1" applyAlignment="1" applyProtection="1">
      <alignment horizontal="center" vertical="center"/>
    </xf>
    <xf numFmtId="0" fontId="16" fillId="10" borderId="1" xfId="2" applyFont="1" applyFill="1" applyBorder="1" applyAlignment="1" applyProtection="1">
      <alignment vertical="center"/>
    </xf>
    <xf numFmtId="0" fontId="17" fillId="10" borderId="4" xfId="0" applyFont="1" applyFill="1" applyBorder="1" applyAlignment="1" applyProtection="1">
      <alignment vertical="center"/>
    </xf>
    <xf numFmtId="0" fontId="14" fillId="5" borderId="23" xfId="0" applyFont="1" applyFill="1" applyBorder="1" applyAlignment="1" applyProtection="1">
      <alignment vertical="center"/>
      <protection locked="0"/>
    </xf>
    <xf numFmtId="0" fontId="14" fillId="5" borderId="24" xfId="0" applyFont="1" applyFill="1" applyBorder="1" applyAlignment="1" applyProtection="1">
      <alignment vertical="center"/>
      <protection locked="0"/>
    </xf>
    <xf numFmtId="0" fontId="14" fillId="5" borderId="26" xfId="0" applyFont="1" applyFill="1" applyBorder="1" applyAlignment="1" applyProtection="1">
      <alignment vertical="center"/>
      <protection locked="0"/>
    </xf>
    <xf numFmtId="0" fontId="6" fillId="11" borderId="26" xfId="1" applyFont="1" applyFill="1" applyBorder="1" applyAlignment="1" applyProtection="1">
      <alignment vertical="center"/>
    </xf>
    <xf numFmtId="1" fontId="1" fillId="11" borderId="26" xfId="1" applyNumberFormat="1" applyFont="1" applyFill="1" applyBorder="1" applyAlignment="1" applyProtection="1">
      <alignment vertical="center"/>
    </xf>
    <xf numFmtId="1" fontId="1" fillId="11" borderId="27" xfId="1" applyNumberFormat="1" applyFont="1" applyFill="1" applyBorder="1" applyAlignment="1" applyProtection="1">
      <alignment vertical="center"/>
    </xf>
    <xf numFmtId="1" fontId="15" fillId="8" borderId="23" xfId="0" applyNumberFormat="1" applyFont="1" applyFill="1" applyBorder="1" applyAlignment="1" applyProtection="1">
      <alignment vertical="center"/>
    </xf>
    <xf numFmtId="1" fontId="15" fillId="8" borderId="24" xfId="0" applyNumberFormat="1" applyFont="1" applyFill="1" applyBorder="1" applyAlignment="1" applyProtection="1">
      <alignment vertical="center"/>
    </xf>
    <xf numFmtId="1" fontId="11" fillId="6" borderId="0" xfId="0" applyNumberFormat="1" applyFont="1" applyFill="1" applyBorder="1" applyProtection="1">
      <protection locked="0"/>
    </xf>
    <xf numFmtId="1" fontId="11" fillId="6" borderId="0" xfId="0" applyNumberFormat="1" applyFont="1" applyFill="1" applyBorder="1" applyAlignment="1" applyProtection="1">
      <alignment vertical="center"/>
      <protection locked="0"/>
    </xf>
    <xf numFmtId="1" fontId="12" fillId="6" borderId="0" xfId="0" applyNumberFormat="1" applyFont="1" applyFill="1" applyBorder="1" applyAlignment="1" applyProtection="1">
      <alignment vertical="center"/>
      <protection locked="0"/>
    </xf>
    <xf numFmtId="1" fontId="12" fillId="6" borderId="0" xfId="1" applyNumberFormat="1" applyFont="1" applyFill="1" applyBorder="1" applyAlignment="1" applyProtection="1">
      <alignment vertical="center"/>
      <protection locked="0"/>
    </xf>
    <xf numFmtId="0" fontId="11" fillId="6" borderId="23" xfId="0" applyFont="1" applyFill="1" applyBorder="1" applyAlignment="1" applyProtection="1">
      <alignment vertical="center"/>
      <protection locked="0"/>
    </xf>
    <xf numFmtId="1" fontId="11" fillId="6" borderId="22" xfId="0" applyNumberFormat="1" applyFont="1" applyFill="1" applyBorder="1" applyProtection="1">
      <protection locked="0"/>
    </xf>
    <xf numFmtId="0" fontId="11" fillId="6" borderId="24" xfId="0" applyFont="1" applyFill="1" applyBorder="1" applyAlignment="1" applyProtection="1">
      <alignment vertical="center"/>
      <protection locked="0"/>
    </xf>
    <xf numFmtId="0" fontId="11" fillId="6" borderId="24" xfId="0" applyFont="1" applyFill="1" applyBorder="1" applyAlignment="1" applyProtection="1">
      <alignment vertical="center" wrapText="1"/>
      <protection locked="0"/>
    </xf>
    <xf numFmtId="0" fontId="12" fillId="6" borderId="26" xfId="1" applyFont="1" applyFill="1" applyBorder="1" applyAlignment="1" applyProtection="1">
      <alignment vertical="center" wrapText="1"/>
      <protection locked="0"/>
    </xf>
    <xf numFmtId="1" fontId="1" fillId="12" borderId="0" xfId="0" applyNumberFormat="1" applyFont="1" applyFill="1" applyBorder="1" applyAlignment="1" applyProtection="1">
      <alignment vertical="center"/>
    </xf>
    <xf numFmtId="1" fontId="11" fillId="6" borderId="23" xfId="0" applyNumberFormat="1" applyFont="1" applyFill="1" applyBorder="1" applyProtection="1">
      <protection locked="0"/>
    </xf>
    <xf numFmtId="1" fontId="11" fillId="6" borderId="24" xfId="0" applyNumberFormat="1" applyFont="1" applyFill="1" applyBorder="1" applyAlignment="1" applyProtection="1">
      <alignment vertical="center"/>
      <protection locked="0"/>
    </xf>
    <xf numFmtId="1" fontId="12" fillId="6" borderId="24" xfId="1" applyNumberFormat="1" applyFont="1" applyFill="1" applyBorder="1" applyAlignment="1" applyProtection="1">
      <alignment vertical="center"/>
      <protection locked="0"/>
    </xf>
    <xf numFmtId="0" fontId="6" fillId="12" borderId="24" xfId="0" applyFont="1" applyFill="1" applyBorder="1" applyAlignment="1" applyProtection="1">
      <alignment vertical="center"/>
    </xf>
    <xf numFmtId="0" fontId="6" fillId="13" borderId="23" xfId="0" applyFont="1" applyFill="1" applyBorder="1" applyAlignment="1" applyProtection="1">
      <alignment vertical="center"/>
    </xf>
    <xf numFmtId="0" fontId="6" fillId="0" borderId="24" xfId="0" applyFont="1" applyFill="1" applyBorder="1" applyAlignment="1" applyProtection="1">
      <alignment vertical="center"/>
    </xf>
    <xf numFmtId="1" fontId="1" fillId="12" borderId="24" xfId="0" applyNumberFormat="1" applyFont="1" applyFill="1" applyBorder="1" applyAlignment="1" applyProtection="1">
      <alignment vertical="center"/>
    </xf>
    <xf numFmtId="166" fontId="1" fillId="0" borderId="0" xfId="0" applyNumberFormat="1" applyFont="1" applyFill="1" applyBorder="1" applyProtection="1"/>
    <xf numFmtId="1" fontId="1" fillId="0" borderId="23" xfId="0" applyNumberFormat="1" applyFont="1" applyBorder="1" applyProtection="1"/>
    <xf numFmtId="1" fontId="1" fillId="0" borderId="22" xfId="0" applyNumberFormat="1" applyFont="1" applyBorder="1" applyProtection="1"/>
    <xf numFmtId="166" fontId="1" fillId="0" borderId="24" xfId="0" applyNumberFormat="1" applyFont="1" applyFill="1" applyBorder="1" applyProtection="1"/>
    <xf numFmtId="166" fontId="1" fillId="0" borderId="26" xfId="0" applyNumberFormat="1" applyFont="1" applyFill="1" applyBorder="1" applyAlignment="1" applyProtection="1">
      <alignment vertical="center"/>
    </xf>
    <xf numFmtId="166" fontId="1" fillId="0" borderId="27" xfId="0" applyNumberFormat="1" applyFont="1" applyFill="1" applyBorder="1" applyAlignment="1" applyProtection="1">
      <alignment vertical="center"/>
    </xf>
    <xf numFmtId="1" fontId="15" fillId="16" borderId="24" xfId="0" applyNumberFormat="1" applyFont="1" applyFill="1" applyBorder="1" applyAlignment="1" applyProtection="1">
      <alignment vertical="center"/>
    </xf>
    <xf numFmtId="165" fontId="1" fillId="16" borderId="0" xfId="0" applyNumberFormat="1" applyFont="1" applyFill="1" applyBorder="1" applyAlignment="1" applyProtection="1">
      <alignment horizontal="center" vertical="center"/>
    </xf>
    <xf numFmtId="1" fontId="1" fillId="16" borderId="25" xfId="0" applyNumberFormat="1" applyFont="1" applyFill="1" applyBorder="1" applyAlignment="1" applyProtection="1">
      <alignment vertical="center"/>
    </xf>
    <xf numFmtId="166" fontId="2" fillId="9" borderId="0" xfId="2" applyNumberFormat="1" applyFont="1" applyFill="1" applyBorder="1" applyAlignment="1" applyProtection="1">
      <alignment vertical="center"/>
    </xf>
    <xf numFmtId="165" fontId="1" fillId="14" borderId="22" xfId="0" applyNumberFormat="1" applyFont="1" applyFill="1" applyBorder="1" applyAlignment="1" applyProtection="1">
      <alignment horizontal="center" vertical="center"/>
    </xf>
    <xf numFmtId="1" fontId="1" fillId="14" borderId="18" xfId="0" applyNumberFormat="1" applyFont="1" applyFill="1" applyBorder="1" applyAlignment="1" applyProtection="1">
      <alignment vertical="center"/>
    </xf>
    <xf numFmtId="166" fontId="15" fillId="8" borderId="24" xfId="0" applyNumberFormat="1" applyFont="1" applyFill="1" applyBorder="1" applyAlignment="1" applyProtection="1">
      <alignment vertical="center"/>
    </xf>
    <xf numFmtId="166" fontId="3" fillId="9" borderId="25" xfId="0" applyNumberFormat="1" applyFont="1" applyFill="1" applyBorder="1" applyAlignment="1" applyProtection="1">
      <alignment vertical="center"/>
    </xf>
    <xf numFmtId="166" fontId="15" fillId="8" borderId="26" xfId="0" applyNumberFormat="1" applyFont="1" applyFill="1" applyBorder="1" applyAlignment="1" applyProtection="1">
      <alignment vertical="center"/>
    </xf>
    <xf numFmtId="166" fontId="2" fillId="9" borderId="27" xfId="2" applyNumberFormat="1" applyFont="1" applyFill="1" applyBorder="1" applyAlignment="1" applyProtection="1">
      <alignment vertical="center"/>
    </xf>
    <xf numFmtId="166" fontId="3" fillId="9" borderId="28" xfId="0" applyNumberFormat="1" applyFont="1" applyFill="1" applyBorder="1" applyAlignment="1" applyProtection="1">
      <alignment vertical="center"/>
    </xf>
    <xf numFmtId="0" fontId="4" fillId="7" borderId="23" xfId="0" applyFont="1" applyFill="1" applyBorder="1" applyAlignment="1" applyProtection="1">
      <alignment vertical="center"/>
      <protection locked="0"/>
    </xf>
    <xf numFmtId="0" fontId="4" fillId="7" borderId="26" xfId="0" applyFont="1" applyFill="1" applyBorder="1" applyAlignment="1" applyProtection="1">
      <alignment vertical="center" wrapText="1"/>
      <protection locked="0"/>
    </xf>
    <xf numFmtId="1" fontId="4" fillId="7" borderId="0" xfId="0" applyNumberFormat="1" applyFont="1" applyFill="1" applyBorder="1" applyAlignment="1" applyProtection="1">
      <alignment vertical="center"/>
      <protection locked="0"/>
    </xf>
    <xf numFmtId="1" fontId="4" fillId="7" borderId="23" xfId="0" applyNumberFormat="1" applyFont="1" applyFill="1" applyBorder="1" applyAlignment="1" applyProtection="1">
      <alignment vertical="center"/>
      <protection locked="0"/>
    </xf>
    <xf numFmtId="1" fontId="4" fillId="7" borderId="22" xfId="0" applyNumberFormat="1" applyFont="1" applyFill="1" applyBorder="1" applyAlignment="1" applyProtection="1">
      <alignment vertical="center"/>
      <protection locked="0"/>
    </xf>
    <xf numFmtId="1" fontId="3" fillId="2" borderId="0" xfId="0" applyNumberFormat="1" applyFont="1" applyFill="1" applyBorder="1" applyProtection="1"/>
    <xf numFmtId="1" fontId="3" fillId="2" borderId="22" xfId="0" applyNumberFormat="1" applyFont="1" applyFill="1" applyBorder="1" applyProtection="1"/>
    <xf numFmtId="1" fontId="1" fillId="8" borderId="18" xfId="0" applyNumberFormat="1" applyFont="1" applyFill="1" applyBorder="1" applyProtection="1"/>
    <xf numFmtId="1" fontId="1" fillId="8" borderId="28" xfId="0" applyNumberFormat="1" applyFont="1" applyFill="1" applyBorder="1" applyProtection="1"/>
    <xf numFmtId="1" fontId="4" fillId="7" borderId="24" xfId="0" applyNumberFormat="1" applyFont="1" applyFill="1" applyBorder="1" applyAlignment="1" applyProtection="1">
      <alignment vertical="center"/>
      <protection locked="0"/>
    </xf>
    <xf numFmtId="1" fontId="1" fillId="8" borderId="25" xfId="0" applyNumberFormat="1" applyFont="1" applyFill="1" applyBorder="1" applyProtection="1"/>
    <xf numFmtId="167" fontId="15" fillId="8" borderId="0" xfId="0" applyNumberFormat="1" applyFont="1" applyFill="1" applyBorder="1" applyAlignment="1" applyProtection="1">
      <alignment vertical="center"/>
    </xf>
    <xf numFmtId="3" fontId="3" fillId="2" borderId="25" xfId="0" applyNumberFormat="1" applyFont="1" applyFill="1" applyBorder="1" applyProtection="1"/>
    <xf numFmtId="3" fontId="3" fillId="2" borderId="27" xfId="0" applyNumberFormat="1" applyFont="1" applyFill="1" applyBorder="1" applyProtection="1"/>
    <xf numFmtId="3" fontId="3" fillId="2" borderId="28" xfId="0" applyNumberFormat="1" applyFont="1" applyFill="1" applyBorder="1" applyProtection="1"/>
    <xf numFmtId="0" fontId="6" fillId="4" borderId="24" xfId="0" applyFont="1" applyFill="1" applyBorder="1" applyAlignment="1" applyProtection="1">
      <alignment vertical="center"/>
    </xf>
    <xf numFmtId="0" fontId="1" fillId="0" borderId="19" xfId="1" applyFont="1" applyFill="1" applyBorder="1" applyAlignment="1" applyProtection="1">
      <alignment vertical="center"/>
    </xf>
    <xf numFmtId="0" fontId="1" fillId="0" borderId="5" xfId="1" applyFont="1" applyFill="1" applyBorder="1" applyAlignment="1" applyProtection="1">
      <alignment vertical="center"/>
    </xf>
    <xf numFmtId="168" fontId="15" fillId="8" borderId="27" xfId="0" applyNumberFormat="1" applyFont="1" applyFill="1" applyBorder="1" applyAlignment="1" applyProtection="1">
      <alignment vertical="center"/>
    </xf>
    <xf numFmtId="1" fontId="1" fillId="4" borderId="23" xfId="0" applyNumberFormat="1" applyFont="1" applyFill="1" applyBorder="1" applyProtection="1"/>
    <xf numFmtId="1" fontId="1" fillId="4" borderId="22" xfId="0" applyNumberFormat="1" applyFont="1" applyFill="1" applyBorder="1" applyProtection="1"/>
    <xf numFmtId="167" fontId="1" fillId="0" borderId="23" xfId="0" applyNumberFormat="1" applyFont="1" applyFill="1" applyBorder="1" applyProtection="1"/>
    <xf numFmtId="167" fontId="1" fillId="0" borderId="22" xfId="0" applyNumberFormat="1" applyFont="1" applyFill="1" applyBorder="1" applyProtection="1"/>
    <xf numFmtId="167" fontId="1" fillId="0" borderId="18" xfId="0" applyNumberFormat="1" applyFont="1" applyFill="1" applyBorder="1" applyProtection="1"/>
    <xf numFmtId="168" fontId="1" fillId="0" borderId="26" xfId="0" applyNumberFormat="1" applyFont="1" applyFill="1" applyBorder="1" applyProtection="1"/>
    <xf numFmtId="168" fontId="1" fillId="0" borderId="27" xfId="0" applyNumberFormat="1" applyFont="1" applyFill="1" applyBorder="1" applyProtection="1"/>
    <xf numFmtId="168" fontId="1" fillId="0" borderId="28" xfId="0" applyNumberFormat="1" applyFont="1" applyFill="1" applyBorder="1" applyProtection="1"/>
    <xf numFmtId="0" fontId="6" fillId="0" borderId="1" xfId="0" applyFont="1" applyFill="1" applyBorder="1" applyProtection="1"/>
    <xf numFmtId="1" fontId="1" fillId="0" borderId="0" xfId="2" applyNumberFormat="1" applyFont="1" applyFill="1" applyBorder="1" applyProtection="1"/>
    <xf numFmtId="1" fontId="3" fillId="0" borderId="0" xfId="2" applyNumberFormat="1" applyFont="1" applyFill="1" applyBorder="1" applyProtection="1">
      <protection locked="0"/>
    </xf>
    <xf numFmtId="1" fontId="1" fillId="0" borderId="23" xfId="2" applyNumberFormat="1" applyFont="1" applyFill="1" applyBorder="1" applyProtection="1"/>
    <xf numFmtId="1" fontId="1" fillId="0" borderId="22" xfId="2" applyNumberFormat="1" applyFont="1" applyFill="1" applyBorder="1" applyProtection="1"/>
    <xf numFmtId="0" fontId="7" fillId="0" borderId="1" xfId="0" applyFont="1" applyFill="1" applyBorder="1" applyProtection="1"/>
    <xf numFmtId="0" fontId="7" fillId="0" borderId="1" xfId="0" applyFont="1" applyFill="1" applyBorder="1" applyAlignment="1" applyProtection="1">
      <alignment wrapText="1"/>
    </xf>
    <xf numFmtId="1" fontId="3" fillId="0" borderId="24" xfId="2" applyNumberFormat="1" applyFont="1" applyFill="1" applyBorder="1" applyProtection="1">
      <protection locked="0"/>
    </xf>
    <xf numFmtId="1" fontId="3" fillId="0" borderId="0" xfId="0" applyNumberFormat="1" applyFont="1" applyFill="1" applyBorder="1" applyProtection="1">
      <protection locked="0"/>
    </xf>
    <xf numFmtId="1" fontId="1" fillId="0" borderId="0" xfId="0" applyNumberFormat="1" applyFont="1" applyFill="1" applyBorder="1" applyProtection="1"/>
    <xf numFmtId="1" fontId="3" fillId="0" borderId="23" xfId="0" applyNumberFormat="1" applyFont="1" applyFill="1" applyBorder="1" applyProtection="1">
      <protection locked="0"/>
    </xf>
    <xf numFmtId="1" fontId="3" fillId="0" borderId="22" xfId="0" applyNumberFormat="1" applyFont="1" applyFill="1" applyBorder="1" applyProtection="1">
      <protection locked="0"/>
    </xf>
    <xf numFmtId="1" fontId="3" fillId="0" borderId="24" xfId="0" applyNumberFormat="1" applyFont="1" applyFill="1" applyBorder="1" applyProtection="1">
      <protection locked="0"/>
    </xf>
    <xf numFmtId="1" fontId="1" fillId="0" borderId="24" xfId="0" applyNumberFormat="1" applyFont="1" applyFill="1" applyBorder="1" applyProtection="1"/>
    <xf numFmtId="0" fontId="0" fillId="0" borderId="5" xfId="0" applyBorder="1"/>
    <xf numFmtId="165" fontId="1" fillId="0" borderId="0" xfId="2" applyNumberFormat="1" applyFont="1" applyFill="1" applyBorder="1" applyProtection="1"/>
    <xf numFmtId="1" fontId="1" fillId="0" borderId="24" xfId="2" applyNumberFormat="1" applyFont="1" applyFill="1" applyBorder="1" applyProtection="1"/>
    <xf numFmtId="164" fontId="20" fillId="0" borderId="1" xfId="0" applyNumberFormat="1" applyFont="1" applyFill="1" applyBorder="1" applyProtection="1"/>
    <xf numFmtId="165" fontId="1" fillId="0" borderId="24" xfId="2" applyNumberFormat="1" applyFont="1" applyFill="1" applyBorder="1" applyProtection="1"/>
    <xf numFmtId="0" fontId="0" fillId="0" borderId="23" xfId="0" applyBorder="1"/>
    <xf numFmtId="0" fontId="0" fillId="0" borderId="22" xfId="0" applyBorder="1"/>
    <xf numFmtId="164" fontId="6" fillId="0" borderId="1" xfId="0" applyNumberFormat="1" applyFont="1" applyFill="1" applyBorder="1" applyProtection="1"/>
    <xf numFmtId="0" fontId="3" fillId="0" borderId="24" xfId="0" applyFont="1" applyBorder="1"/>
    <xf numFmtId="1" fontId="1" fillId="0" borderId="26" xfId="2" applyNumberFormat="1" applyFont="1" applyFill="1" applyBorder="1" applyProtection="1"/>
    <xf numFmtId="1" fontId="1" fillId="0" borderId="27" xfId="2" applyNumberFormat="1" applyFont="1" applyFill="1" applyBorder="1" applyProtection="1"/>
    <xf numFmtId="0" fontId="0" fillId="0" borderId="26" xfId="0" applyBorder="1"/>
    <xf numFmtId="1" fontId="6" fillId="9" borderId="19" xfId="0" applyNumberFormat="1" applyFont="1" applyFill="1" applyBorder="1" applyAlignment="1" applyProtection="1">
      <alignment horizontal="center" vertical="center"/>
    </xf>
    <xf numFmtId="1" fontId="1" fillId="10" borderId="25" xfId="0" applyNumberFormat="1" applyFont="1" applyFill="1" applyBorder="1" applyProtection="1"/>
    <xf numFmtId="0" fontId="0" fillId="2" borderId="25" xfId="0" applyFill="1" applyBorder="1" applyProtection="1"/>
    <xf numFmtId="1" fontId="15" fillId="5" borderId="23" xfId="0" applyNumberFormat="1" applyFont="1" applyFill="1" applyBorder="1" applyAlignment="1" applyProtection="1">
      <alignment vertical="center"/>
    </xf>
    <xf numFmtId="165" fontId="15" fillId="5" borderId="22" xfId="2" applyNumberFormat="1" applyFont="1" applyFill="1" applyBorder="1" applyAlignment="1" applyProtection="1">
      <alignment vertical="center"/>
    </xf>
    <xf numFmtId="1" fontId="15" fillId="5" borderId="18" xfId="0" applyNumberFormat="1" applyFont="1" applyFill="1" applyBorder="1" applyAlignment="1" applyProtection="1">
      <alignment vertical="center"/>
    </xf>
    <xf numFmtId="1" fontId="15" fillId="5" borderId="24" xfId="0" applyNumberFormat="1" applyFont="1" applyFill="1" applyBorder="1" applyAlignment="1" applyProtection="1">
      <alignment vertical="center"/>
    </xf>
    <xf numFmtId="165" fontId="15" fillId="5" borderId="0" xfId="2" applyNumberFormat="1" applyFont="1" applyFill="1" applyBorder="1" applyAlignment="1" applyProtection="1">
      <alignment vertical="center"/>
    </xf>
    <xf numFmtId="1" fontId="15" fillId="5" borderId="25" xfId="0" applyNumberFormat="1" applyFont="1" applyFill="1" applyBorder="1" applyAlignment="1" applyProtection="1">
      <alignment vertical="center"/>
    </xf>
    <xf numFmtId="1" fontId="15" fillId="17" borderId="26" xfId="0" applyNumberFormat="1" applyFont="1" applyFill="1" applyBorder="1" applyAlignment="1" applyProtection="1">
      <alignment vertical="center"/>
    </xf>
    <xf numFmtId="165" fontId="18" fillId="17" borderId="27" xfId="1" applyNumberFormat="1" applyFont="1" applyFill="1" applyBorder="1" applyAlignment="1" applyProtection="1">
      <alignment horizontal="center" vertical="center"/>
    </xf>
    <xf numFmtId="1" fontId="15" fillId="17" borderId="28" xfId="0" applyNumberFormat="1" applyFont="1" applyFill="1" applyBorder="1" applyAlignment="1" applyProtection="1">
      <alignment vertical="center"/>
    </xf>
    <xf numFmtId="1" fontId="21" fillId="6" borderId="23" xfId="0" applyNumberFormat="1" applyFont="1" applyFill="1" applyBorder="1" applyAlignment="1" applyProtection="1">
      <alignment vertical="center"/>
    </xf>
    <xf numFmtId="165" fontId="21" fillId="6" borderId="22" xfId="2" applyNumberFormat="1" applyFont="1" applyFill="1" applyBorder="1" applyAlignment="1" applyProtection="1">
      <alignment vertical="center"/>
    </xf>
    <xf numFmtId="1" fontId="21" fillId="6" borderId="18" xfId="0" applyNumberFormat="1" applyFont="1" applyFill="1" applyBorder="1" applyAlignment="1" applyProtection="1">
      <alignment vertical="center"/>
    </xf>
    <xf numFmtId="1" fontId="21" fillId="6" borderId="24" xfId="0" applyNumberFormat="1" applyFont="1" applyFill="1" applyBorder="1" applyAlignment="1" applyProtection="1">
      <alignment vertical="center"/>
    </xf>
    <xf numFmtId="165" fontId="21" fillId="6" borderId="0" xfId="2" applyNumberFormat="1" applyFont="1" applyFill="1" applyBorder="1" applyAlignment="1" applyProtection="1">
      <alignment vertical="center"/>
    </xf>
    <xf numFmtId="1" fontId="21" fillId="6" borderId="25" xfId="0" applyNumberFormat="1" applyFont="1" applyFill="1" applyBorder="1" applyAlignment="1" applyProtection="1">
      <alignment vertical="center"/>
    </xf>
    <xf numFmtId="169" fontId="1" fillId="0" borderId="27" xfId="0" applyNumberFormat="1" applyFont="1" applyFill="1" applyBorder="1" applyProtection="1"/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6" fillId="0" borderId="0" xfId="3" applyFont="1" applyFill="1" applyBorder="1" applyProtection="1"/>
    <xf numFmtId="0" fontId="25" fillId="0" borderId="0" xfId="3" applyFont="1" applyFill="1" applyBorder="1" applyAlignment="1" applyProtection="1">
      <alignment vertical="center"/>
    </xf>
    <xf numFmtId="1" fontId="15" fillId="8" borderId="24" xfId="0" applyNumberFormat="1" applyFont="1" applyFill="1" applyBorder="1" applyAlignment="1" applyProtection="1">
      <alignment horizontal="center" vertical="center"/>
    </xf>
    <xf numFmtId="1" fontId="15" fillId="8" borderId="0" xfId="0" applyNumberFormat="1" applyFont="1" applyFill="1" applyBorder="1" applyAlignment="1" applyProtection="1">
      <alignment horizontal="center" vertical="center"/>
    </xf>
    <xf numFmtId="1" fontId="15" fillId="8" borderId="23" xfId="0" applyNumberFormat="1" applyFont="1" applyFill="1" applyBorder="1" applyAlignment="1" applyProtection="1">
      <alignment horizontal="center" vertical="center"/>
    </xf>
    <xf numFmtId="1" fontId="15" fillId="8" borderId="22" xfId="0" applyNumberFormat="1" applyFont="1" applyFill="1" applyBorder="1" applyAlignment="1" applyProtection="1">
      <alignment horizontal="center" vertical="center"/>
    </xf>
    <xf numFmtId="165" fontId="15" fillId="8" borderId="26" xfId="0" applyNumberFormat="1" applyFont="1" applyFill="1" applyBorder="1" applyAlignment="1" applyProtection="1">
      <alignment horizontal="center" vertical="center"/>
    </xf>
    <xf numFmtId="165" fontId="15" fillId="8" borderId="27" xfId="0" applyNumberFormat="1" applyFont="1" applyFill="1" applyBorder="1" applyAlignment="1" applyProtection="1">
      <alignment horizontal="center" vertical="center"/>
    </xf>
    <xf numFmtId="165" fontId="15" fillId="8" borderId="24" xfId="0" applyNumberFormat="1" applyFont="1" applyFill="1" applyBorder="1" applyAlignment="1" applyProtection="1">
      <alignment horizontal="center" vertical="center"/>
    </xf>
    <xf numFmtId="165" fontId="15" fillId="8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left" vertical="center"/>
    </xf>
    <xf numFmtId="0" fontId="5" fillId="0" borderId="27" xfId="0" applyFont="1" applyFill="1" applyBorder="1" applyAlignment="1" applyProtection="1">
      <alignment horizontal="left" vertical="center"/>
    </xf>
    <xf numFmtId="0" fontId="5" fillId="0" borderId="28" xfId="0" applyFont="1" applyFill="1" applyBorder="1" applyAlignment="1" applyProtection="1">
      <alignment horizontal="left" vertical="center"/>
    </xf>
    <xf numFmtId="0" fontId="6" fillId="11" borderId="23" xfId="0" applyFont="1" applyFill="1" applyBorder="1" applyAlignment="1" applyProtection="1">
      <alignment horizontal="left" vertical="center"/>
    </xf>
    <xf numFmtId="0" fontId="6" fillId="11" borderId="0" xfId="0" applyFont="1" applyFill="1" applyBorder="1" applyAlignment="1" applyProtection="1">
      <alignment horizontal="left" vertical="center"/>
    </xf>
    <xf numFmtId="0" fontId="6" fillId="11" borderId="25" xfId="0" applyFont="1" applyFill="1" applyBorder="1" applyAlignment="1" applyProtection="1">
      <alignment horizontal="left" vertical="center"/>
    </xf>
    <xf numFmtId="0" fontId="18" fillId="12" borderId="23" xfId="1" applyFont="1" applyFill="1" applyBorder="1" applyAlignment="1" applyProtection="1">
      <alignment horizontal="left" vertical="center"/>
    </xf>
    <xf numFmtId="0" fontId="18" fillId="12" borderId="0" xfId="1" applyFont="1" applyFill="1" applyBorder="1" applyAlignment="1" applyProtection="1">
      <alignment horizontal="left" vertical="center"/>
    </xf>
    <xf numFmtId="0" fontId="18" fillId="12" borderId="25" xfId="1" applyFont="1" applyFill="1" applyBorder="1" applyAlignment="1" applyProtection="1">
      <alignment horizontal="left" vertical="center"/>
    </xf>
    <xf numFmtId="0" fontId="6" fillId="7" borderId="23" xfId="0" applyFont="1" applyFill="1" applyBorder="1" applyAlignment="1" applyProtection="1">
      <alignment horizontal="center" vertical="center"/>
    </xf>
    <xf numFmtId="0" fontId="6" fillId="7" borderId="22" xfId="0" applyFont="1" applyFill="1" applyBorder="1" applyAlignment="1" applyProtection="1">
      <alignment horizontal="center" vertical="center"/>
    </xf>
    <xf numFmtId="0" fontId="6" fillId="7" borderId="18" xfId="0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165" fontId="6" fillId="10" borderId="23" xfId="0" applyNumberFormat="1" applyFont="1" applyFill="1" applyBorder="1" applyAlignment="1" applyProtection="1">
      <alignment horizontal="center" vertical="center"/>
    </xf>
    <xf numFmtId="165" fontId="6" fillId="10" borderId="18" xfId="0" applyNumberFormat="1" applyFont="1" applyFill="1" applyBorder="1" applyAlignment="1" applyProtection="1">
      <alignment horizontal="center" vertical="center"/>
    </xf>
    <xf numFmtId="165" fontId="6" fillId="8" borderId="20" xfId="0" applyNumberFormat="1" applyFont="1" applyFill="1" applyBorder="1" applyAlignment="1" applyProtection="1">
      <alignment horizontal="center" vertical="center"/>
    </xf>
    <xf numFmtId="165" fontId="6" fillId="8" borderId="21" xfId="0" applyNumberFormat="1" applyFont="1" applyFill="1" applyBorder="1" applyAlignment="1" applyProtection="1">
      <alignment horizontal="center" vertical="center"/>
    </xf>
    <xf numFmtId="1" fontId="15" fillId="8" borderId="1" xfId="0" applyNumberFormat="1" applyFont="1" applyFill="1" applyBorder="1" applyAlignment="1" applyProtection="1">
      <alignment horizontal="center" vertical="center"/>
    </xf>
    <xf numFmtId="1" fontId="15" fillId="8" borderId="4" xfId="0" applyNumberFormat="1" applyFont="1" applyFill="1" applyBorder="1" applyAlignment="1" applyProtection="1">
      <alignment horizontal="center" vertical="center"/>
    </xf>
    <xf numFmtId="165" fontId="15" fillId="8" borderId="1" xfId="0" applyNumberFormat="1" applyFont="1" applyFill="1" applyBorder="1" applyAlignment="1" applyProtection="1">
      <alignment horizontal="center" vertical="center"/>
    </xf>
    <xf numFmtId="165" fontId="15" fillId="8" borderId="4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6" fillId="7" borderId="1" xfId="0" applyFont="1" applyFill="1" applyBorder="1" applyAlignment="1" applyProtection="1">
      <alignment horizontal="center" vertical="center"/>
    </xf>
    <xf numFmtId="0" fontId="6" fillId="7" borderId="2" xfId="0" applyFont="1" applyFill="1" applyBorder="1" applyAlignment="1" applyProtection="1">
      <alignment horizontal="center" vertical="center"/>
    </xf>
    <xf numFmtId="0" fontId="6" fillId="7" borderId="4" xfId="0" applyFont="1" applyFill="1" applyBorder="1" applyAlignment="1" applyProtection="1">
      <alignment horizontal="center" vertical="center"/>
    </xf>
    <xf numFmtId="0" fontId="6" fillId="11" borderId="1" xfId="0" applyFont="1" applyFill="1" applyBorder="1" applyAlignment="1" applyProtection="1">
      <alignment horizontal="left" vertical="center"/>
    </xf>
    <xf numFmtId="0" fontId="6" fillId="11" borderId="2" xfId="0" applyFont="1" applyFill="1" applyBorder="1" applyAlignment="1" applyProtection="1">
      <alignment horizontal="left" vertical="center"/>
    </xf>
    <xf numFmtId="0" fontId="6" fillId="11" borderId="4" xfId="0" applyFont="1" applyFill="1" applyBorder="1" applyAlignment="1" applyProtection="1">
      <alignment horizontal="left" vertical="center"/>
    </xf>
    <xf numFmtId="0" fontId="18" fillId="12" borderId="1" xfId="1" applyFont="1" applyFill="1" applyBorder="1" applyAlignment="1" applyProtection="1">
      <alignment horizontal="left" vertical="center"/>
    </xf>
    <xf numFmtId="0" fontId="18" fillId="12" borderId="2" xfId="1" applyFont="1" applyFill="1" applyBorder="1" applyAlignment="1" applyProtection="1">
      <alignment horizontal="left" vertical="center"/>
    </xf>
    <xf numFmtId="0" fontId="18" fillId="12" borderId="4" xfId="1" applyFont="1" applyFill="1" applyBorder="1" applyAlignment="1" applyProtection="1">
      <alignment horizontal="left" vertical="center"/>
    </xf>
    <xf numFmtId="165" fontId="6" fillId="10" borderId="1" xfId="0" applyNumberFormat="1" applyFont="1" applyFill="1" applyBorder="1" applyAlignment="1" applyProtection="1">
      <alignment horizontal="center" vertical="center"/>
    </xf>
    <xf numFmtId="165" fontId="6" fillId="10" borderId="4" xfId="0" applyNumberFormat="1" applyFont="1" applyFill="1" applyBorder="1" applyAlignment="1" applyProtection="1">
      <alignment horizontal="center" vertical="center"/>
    </xf>
  </cellXfs>
  <cellStyles count="4">
    <cellStyle name="Hiperlink" xfId="3" builtinId="8"/>
    <cellStyle name="NívelCol_2" xfId="2" builtinId="2" iLevel="1"/>
    <cellStyle name="NívelLinha_1" xfId="1" builtinId="1" iLevel="0"/>
    <cellStyle name="Normal" xfId="0" builtinId="0"/>
  </cellStyles>
  <dxfs count="0"/>
  <tableStyles count="0" defaultTableStyle="TableStyleMedium9" defaultPivotStyle="PivotStyleLight16"/>
  <colors>
    <mruColors>
      <color rgb="FFFFFFFF"/>
      <color rgb="FF687E36"/>
      <color rgb="FF008000"/>
      <color rgb="FF495826"/>
      <color rgb="FFFFFF99"/>
      <color rgb="FFFFFF00"/>
      <color rgb="FF009999"/>
      <color rgb="FF262F13"/>
      <color rgb="FF283214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pgl.embrapa.br/gerenciamento/ficha_cartilha.zi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4"/>
  <sheetViews>
    <sheetView showGridLines="0" tabSelected="1" zoomScale="130" zoomScaleNormal="130" workbookViewId="0">
      <selection sqref="A1:P1"/>
    </sheetView>
  </sheetViews>
  <sheetFormatPr defaultRowHeight="12.75" x14ac:dyDescent="0.2"/>
  <cols>
    <col min="1" max="1" width="27.85546875" customWidth="1"/>
    <col min="2" max="13" width="7.28515625" customWidth="1"/>
    <col min="14" max="16" width="7.7109375" customWidth="1"/>
  </cols>
  <sheetData>
    <row r="1" spans="1:16" ht="24.75" customHeight="1" thickBot="1" x14ac:dyDescent="0.25">
      <c r="A1" s="232" t="s">
        <v>30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</row>
    <row r="2" spans="1:16" ht="18.75" thickBot="1" x14ac:dyDescent="0.25">
      <c r="A2" s="239" t="s">
        <v>7</v>
      </c>
      <c r="B2" s="234" t="s">
        <v>32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6" t="s">
        <v>27</v>
      </c>
      <c r="O2" s="234"/>
      <c r="P2" s="235"/>
    </row>
    <row r="3" spans="1:16" ht="15.75" thickBot="1" x14ac:dyDescent="0.25">
      <c r="A3" s="240"/>
      <c r="B3" s="8" t="s">
        <v>53</v>
      </c>
      <c r="C3" s="9" t="s">
        <v>54</v>
      </c>
      <c r="D3" s="9" t="s">
        <v>55</v>
      </c>
      <c r="E3" s="9" t="s">
        <v>56</v>
      </c>
      <c r="F3" s="9" t="s">
        <v>57</v>
      </c>
      <c r="G3" s="9" t="s">
        <v>58</v>
      </c>
      <c r="H3" s="9" t="s">
        <v>59</v>
      </c>
      <c r="I3" s="9" t="s">
        <v>60</v>
      </c>
      <c r="J3" s="9" t="s">
        <v>61</v>
      </c>
      <c r="K3" s="9" t="s">
        <v>62</v>
      </c>
      <c r="L3" s="9" t="s">
        <v>63</v>
      </c>
      <c r="M3" s="9" t="s">
        <v>64</v>
      </c>
      <c r="N3" s="94" t="s">
        <v>1</v>
      </c>
      <c r="O3" s="98" t="s">
        <v>2</v>
      </c>
      <c r="P3" s="41" t="s">
        <v>0</v>
      </c>
    </row>
    <row r="4" spans="1:16" ht="15" x14ac:dyDescent="0.2">
      <c r="A4" s="93" t="s">
        <v>24</v>
      </c>
      <c r="B4" s="95">
        <v>1.07</v>
      </c>
      <c r="C4" s="96">
        <v>1.07</v>
      </c>
      <c r="D4" s="96">
        <v>1.0900000000000001</v>
      </c>
      <c r="E4" s="96">
        <v>1.08</v>
      </c>
      <c r="F4" s="96">
        <v>1.0640000000000001</v>
      </c>
      <c r="G4" s="96">
        <v>1.113</v>
      </c>
      <c r="H4" s="97">
        <v>1.1459999999999999</v>
      </c>
      <c r="I4" s="97">
        <v>1.1459999999999999</v>
      </c>
      <c r="J4" s="96">
        <v>1.19</v>
      </c>
      <c r="K4" s="96">
        <v>1.19</v>
      </c>
      <c r="L4" s="96">
        <v>1.1599999999999999</v>
      </c>
      <c r="M4" s="96">
        <v>1.07</v>
      </c>
      <c r="N4" s="31">
        <f>AVERAGE(B4:M4)</f>
        <v>1.11575</v>
      </c>
      <c r="O4" s="99"/>
      <c r="P4" s="100"/>
    </row>
    <row r="5" spans="1:16" ht="15" x14ac:dyDescent="0.2">
      <c r="A5" s="244" t="s">
        <v>46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6"/>
    </row>
    <row r="6" spans="1:16" x14ac:dyDescent="0.2">
      <c r="A6" s="101" t="s">
        <v>43</v>
      </c>
      <c r="B6" s="90">
        <v>19137.419999999998</v>
      </c>
      <c r="C6" s="91">
        <v>16821</v>
      </c>
      <c r="D6" s="91">
        <v>15391.31</v>
      </c>
      <c r="E6" s="91">
        <v>16825</v>
      </c>
      <c r="F6" s="91">
        <f>8767+8701+2335</f>
        <v>19803</v>
      </c>
      <c r="G6" s="91">
        <v>21674.561999999998</v>
      </c>
      <c r="H6" s="91">
        <v>24548.465999999997</v>
      </c>
      <c r="I6" s="91">
        <v>25710.14</v>
      </c>
      <c r="J6" s="91">
        <v>27336.68</v>
      </c>
      <c r="K6" s="91">
        <v>31545.043599999997</v>
      </c>
      <c r="L6" s="91">
        <v>25871.88</v>
      </c>
      <c r="M6" s="91">
        <v>21515.579999999998</v>
      </c>
      <c r="N6" s="199">
        <f>AVERAGE(B6:M6)</f>
        <v>22181.673466666663</v>
      </c>
      <c r="O6" s="200">
        <f>(P6/P9)*100</f>
        <v>98.738779222923128</v>
      </c>
      <c r="P6" s="201">
        <f>SUM(B6:M6)</f>
        <v>266180.08159999998</v>
      </c>
    </row>
    <row r="7" spans="1:16" x14ac:dyDescent="0.2">
      <c r="A7" s="102" t="s">
        <v>44</v>
      </c>
      <c r="B7" s="92">
        <f>1600+1600</f>
        <v>3200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89">
        <v>0</v>
      </c>
      <c r="L7" s="89">
        <v>0</v>
      </c>
      <c r="M7" s="89">
        <v>0</v>
      </c>
      <c r="N7" s="202">
        <f t="shared" ref="N7:N8" si="0">AVERAGE(B7:M7)</f>
        <v>266.66666666666669</v>
      </c>
      <c r="O7" s="203">
        <f>(P7/P9)*100</f>
        <v>1.187031319601767</v>
      </c>
      <c r="P7" s="204">
        <f>SUM(B7:M7)</f>
        <v>3200</v>
      </c>
    </row>
    <row r="8" spans="1:16" x14ac:dyDescent="0.2">
      <c r="A8" s="103" t="s">
        <v>45</v>
      </c>
      <c r="B8" s="92">
        <v>200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202">
        <f t="shared" si="0"/>
        <v>16.666666666666668</v>
      </c>
      <c r="O8" s="203">
        <f>(P8/P9)*100</f>
        <v>7.4189457475110437E-2</v>
      </c>
      <c r="P8" s="204">
        <f t="shared" ref="P8:P9" si="1">SUM(B8:M8)</f>
        <v>200</v>
      </c>
    </row>
    <row r="9" spans="1:16" ht="15" x14ac:dyDescent="0.2">
      <c r="A9" s="104" t="s">
        <v>47</v>
      </c>
      <c r="B9" s="105">
        <f>SUM(B6:B8)</f>
        <v>22537.42</v>
      </c>
      <c r="C9" s="106">
        <f t="shared" ref="C9:M9" si="2">SUM(C6:C8)</f>
        <v>16821</v>
      </c>
      <c r="D9" s="106">
        <f t="shared" si="2"/>
        <v>15391.31</v>
      </c>
      <c r="E9" s="106">
        <f t="shared" si="2"/>
        <v>16825</v>
      </c>
      <c r="F9" s="106">
        <f t="shared" si="2"/>
        <v>19803</v>
      </c>
      <c r="G9" s="106">
        <f t="shared" si="2"/>
        <v>21674.561999999998</v>
      </c>
      <c r="H9" s="106">
        <f t="shared" si="2"/>
        <v>24548.465999999997</v>
      </c>
      <c r="I9" s="106">
        <f t="shared" si="2"/>
        <v>25710.14</v>
      </c>
      <c r="J9" s="106">
        <f t="shared" si="2"/>
        <v>27336.68</v>
      </c>
      <c r="K9" s="106">
        <f t="shared" si="2"/>
        <v>31545.043599999997</v>
      </c>
      <c r="L9" s="106">
        <f t="shared" si="2"/>
        <v>25871.88</v>
      </c>
      <c r="M9" s="106">
        <f t="shared" si="2"/>
        <v>21515.579999999998</v>
      </c>
      <c r="N9" s="205">
        <f>AVERAGE(B9:M9)</f>
        <v>22465.006799999999</v>
      </c>
      <c r="O9" s="206">
        <f>SUM(O6:O8)</f>
        <v>100.00000000000001</v>
      </c>
      <c r="P9" s="207">
        <f t="shared" si="1"/>
        <v>269580.08159999998</v>
      </c>
    </row>
    <row r="10" spans="1:16" ht="15" x14ac:dyDescent="0.2">
      <c r="A10" s="247" t="s">
        <v>22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9"/>
    </row>
    <row r="11" spans="1:16" x14ac:dyDescent="0.2">
      <c r="A11" s="113" t="s">
        <v>6</v>
      </c>
      <c r="B11" s="119">
        <v>110</v>
      </c>
      <c r="C11" s="114">
        <v>110</v>
      </c>
      <c r="D11" s="114">
        <v>220</v>
      </c>
      <c r="E11" s="114">
        <v>225</v>
      </c>
      <c r="F11" s="114">
        <f>50 + 60</f>
        <v>110</v>
      </c>
      <c r="G11" s="114">
        <v>120</v>
      </c>
      <c r="H11" s="114">
        <v>140</v>
      </c>
      <c r="I11" s="114">
        <v>150</v>
      </c>
      <c r="J11" s="114">
        <v>140</v>
      </c>
      <c r="K11" s="114">
        <v>100</v>
      </c>
      <c r="L11" s="114">
        <v>110</v>
      </c>
      <c r="M11" s="114">
        <v>110</v>
      </c>
      <c r="N11" s="208">
        <f>AVERAGE(B11:M11)</f>
        <v>137.08333333333334</v>
      </c>
      <c r="O11" s="209">
        <f>(P11/P26)*100</f>
        <v>1.055814948000825</v>
      </c>
      <c r="P11" s="210">
        <f>SUM(B11:M11)</f>
        <v>1645</v>
      </c>
    </row>
    <row r="12" spans="1:16" x14ac:dyDescent="0.2">
      <c r="A12" s="115" t="s">
        <v>18</v>
      </c>
      <c r="B12" s="120">
        <f>7352+200</f>
        <v>7552</v>
      </c>
      <c r="C12" s="110">
        <v>6378.76</v>
      </c>
      <c r="D12" s="110">
        <v>4046.56</v>
      </c>
      <c r="E12" s="110">
        <v>4552</v>
      </c>
      <c r="F12" s="110">
        <f>5900+201</f>
        <v>6101</v>
      </c>
      <c r="G12" s="110">
        <v>8032</v>
      </c>
      <c r="H12" s="110">
        <v>10536</v>
      </c>
      <c r="I12" s="110">
        <v>8458.0499999999993</v>
      </c>
      <c r="J12" s="110">
        <v>8490</v>
      </c>
      <c r="K12" s="110">
        <v>14570.74</v>
      </c>
      <c r="L12" s="110">
        <v>7655.36</v>
      </c>
      <c r="M12" s="110">
        <v>10007.380000000001</v>
      </c>
      <c r="N12" s="211">
        <f t="shared" ref="N12:N36" si="3">AVERAGE(B12:M12)</f>
        <v>8031.6541666666672</v>
      </c>
      <c r="O12" s="212">
        <f>(P12/P26)*100</f>
        <v>61.859748520411742</v>
      </c>
      <c r="P12" s="213">
        <f>SUM(B12:M12)</f>
        <v>96379.85</v>
      </c>
    </row>
    <row r="13" spans="1:16" x14ac:dyDescent="0.2">
      <c r="A13" s="115" t="s">
        <v>35</v>
      </c>
      <c r="B13" s="120">
        <v>162.75</v>
      </c>
      <c r="C13" s="111">
        <v>216</v>
      </c>
      <c r="D13" s="110">
        <v>211</v>
      </c>
      <c r="E13" s="110">
        <v>200</v>
      </c>
      <c r="F13" s="110">
        <v>294</v>
      </c>
      <c r="G13" s="110">
        <v>59</v>
      </c>
      <c r="H13" s="110">
        <v>80</v>
      </c>
      <c r="I13" s="110">
        <v>340.76</v>
      </c>
      <c r="J13" s="110">
        <v>108.24</v>
      </c>
      <c r="K13" s="110">
        <v>157.30000000000001</v>
      </c>
      <c r="L13" s="110">
        <v>400.32</v>
      </c>
      <c r="M13" s="110">
        <v>154.47</v>
      </c>
      <c r="N13" s="211">
        <f t="shared" si="3"/>
        <v>198.65333333333331</v>
      </c>
      <c r="O13" s="212">
        <f>(P13/P26)*100</f>
        <v>1.5300266903600523</v>
      </c>
      <c r="P13" s="213">
        <f t="shared" ref="P13:P25" si="4">SUM(B13:M13)</f>
        <v>2383.8399999999997</v>
      </c>
    </row>
    <row r="14" spans="1:16" x14ac:dyDescent="0.2">
      <c r="A14" s="115" t="s">
        <v>21</v>
      </c>
      <c r="B14" s="120">
        <f>281+100</f>
        <v>381</v>
      </c>
      <c r="C14" s="110">
        <v>355.52</v>
      </c>
      <c r="D14" s="110">
        <v>354</v>
      </c>
      <c r="E14" s="110">
        <v>355</v>
      </c>
      <c r="F14" s="110">
        <f>202 + 200</f>
        <v>402</v>
      </c>
      <c r="G14" s="110">
        <v>423</v>
      </c>
      <c r="H14" s="110">
        <v>474</v>
      </c>
      <c r="I14" s="110">
        <v>507.40999999999997</v>
      </c>
      <c r="J14" s="110">
        <v>548.54999999999995</v>
      </c>
      <c r="K14" s="110">
        <v>609.70000000000005</v>
      </c>
      <c r="L14" s="110">
        <v>528.09</v>
      </c>
      <c r="M14" s="110">
        <v>434.46000000000004</v>
      </c>
      <c r="N14" s="211">
        <f t="shared" si="3"/>
        <v>447.72749999999996</v>
      </c>
      <c r="O14" s="212">
        <f>(P14/P26)*100</f>
        <v>3.4483943134179165</v>
      </c>
      <c r="P14" s="213">
        <f t="shared" si="4"/>
        <v>5372.73</v>
      </c>
    </row>
    <row r="15" spans="1:16" x14ac:dyDescent="0.2">
      <c r="A15" s="115" t="s">
        <v>25</v>
      </c>
      <c r="B15" s="120">
        <v>464.4</v>
      </c>
      <c r="C15" s="110">
        <v>629.16</v>
      </c>
      <c r="D15" s="110">
        <v>810.96</v>
      </c>
      <c r="E15" s="110">
        <v>728</v>
      </c>
      <c r="F15" s="109">
        <f>4*6*31*1.064</f>
        <v>791.61599999999999</v>
      </c>
      <c r="G15" s="109">
        <v>930</v>
      </c>
      <c r="H15" s="109">
        <v>930</v>
      </c>
      <c r="I15" s="110">
        <v>1136.8319999999999</v>
      </c>
      <c r="J15" s="110">
        <v>1142.3999999999999</v>
      </c>
      <c r="K15" s="110">
        <v>1142.3999999999999</v>
      </c>
      <c r="L15" s="110">
        <v>487.2</v>
      </c>
      <c r="M15" s="110">
        <v>464.38000000000005</v>
      </c>
      <c r="N15" s="211">
        <f t="shared" si="3"/>
        <v>804.779</v>
      </c>
      <c r="O15" s="212">
        <f>(P15/P26)*100</f>
        <v>6.198402660453417</v>
      </c>
      <c r="P15" s="213">
        <f t="shared" si="4"/>
        <v>9657.348</v>
      </c>
    </row>
    <row r="16" spans="1:16" ht="25.5" x14ac:dyDescent="0.2">
      <c r="A16" s="116" t="s">
        <v>40</v>
      </c>
      <c r="B16" s="120">
        <v>95</v>
      </c>
      <c r="C16" s="110">
        <v>0</v>
      </c>
      <c r="D16" s="110">
        <v>60</v>
      </c>
      <c r="E16" s="110">
        <v>58</v>
      </c>
      <c r="F16" s="110">
        <v>630</v>
      </c>
      <c r="G16" s="110">
        <v>630</v>
      </c>
      <c r="H16" s="110">
        <v>914</v>
      </c>
      <c r="I16" s="110">
        <v>0</v>
      </c>
      <c r="J16" s="110">
        <v>0</v>
      </c>
      <c r="K16" s="110">
        <v>0</v>
      </c>
      <c r="L16" s="110">
        <v>10</v>
      </c>
      <c r="M16" s="110">
        <v>10</v>
      </c>
      <c r="N16" s="211">
        <f t="shared" si="3"/>
        <v>200.58333333333334</v>
      </c>
      <c r="O16" s="212">
        <f>(P16/P26)*100</f>
        <v>1.544891537895432</v>
      </c>
      <c r="P16" s="213">
        <f t="shared" si="4"/>
        <v>2407</v>
      </c>
    </row>
    <row r="17" spans="1:16" x14ac:dyDescent="0.2">
      <c r="A17" s="115" t="s">
        <v>36</v>
      </c>
      <c r="B17" s="120">
        <v>180</v>
      </c>
      <c r="C17" s="110">
        <v>180</v>
      </c>
      <c r="D17" s="110">
        <v>720</v>
      </c>
      <c r="E17" s="110">
        <v>715</v>
      </c>
      <c r="F17" s="110">
        <f xml:space="preserve"> 80*2</f>
        <v>160</v>
      </c>
      <c r="G17" s="110">
        <v>1200</v>
      </c>
      <c r="H17" s="110">
        <v>1160</v>
      </c>
      <c r="I17" s="110">
        <v>920</v>
      </c>
      <c r="J17" s="110">
        <v>1080</v>
      </c>
      <c r="K17" s="110">
        <v>1160</v>
      </c>
      <c r="L17" s="110">
        <v>160</v>
      </c>
      <c r="M17" s="110">
        <v>200</v>
      </c>
      <c r="N17" s="211">
        <f t="shared" si="3"/>
        <v>652.91666666666663</v>
      </c>
      <c r="O17" s="212">
        <f>(P17/P26)*100</f>
        <v>5.0287599499005857</v>
      </c>
      <c r="P17" s="213">
        <f t="shared" si="4"/>
        <v>7835</v>
      </c>
    </row>
    <row r="18" spans="1:16" x14ac:dyDescent="0.2">
      <c r="A18" s="115" t="s">
        <v>37</v>
      </c>
      <c r="B18" s="120">
        <v>0</v>
      </c>
      <c r="C18" s="110">
        <v>0</v>
      </c>
      <c r="D18" s="110">
        <v>0</v>
      </c>
      <c r="E18" s="110">
        <v>0</v>
      </c>
      <c r="F18" s="110">
        <v>0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211">
        <f t="shared" si="3"/>
        <v>0</v>
      </c>
      <c r="O18" s="212">
        <f>(P18/P26)*100</f>
        <v>0</v>
      </c>
      <c r="P18" s="213">
        <f t="shared" si="4"/>
        <v>0</v>
      </c>
    </row>
    <row r="19" spans="1:16" x14ac:dyDescent="0.2">
      <c r="A19" s="115" t="s">
        <v>4</v>
      </c>
      <c r="B19" s="120">
        <f>33+28+45</f>
        <v>106</v>
      </c>
      <c r="C19" s="110">
        <v>0</v>
      </c>
      <c r="D19" s="110">
        <v>0</v>
      </c>
      <c r="E19" s="110">
        <v>0</v>
      </c>
      <c r="F19" s="110">
        <v>0</v>
      </c>
      <c r="G19" s="110">
        <v>116</v>
      </c>
      <c r="H19" s="110">
        <v>106</v>
      </c>
      <c r="I19" s="110">
        <v>106</v>
      </c>
      <c r="J19" s="110">
        <v>124</v>
      </c>
      <c r="K19" s="110">
        <v>0</v>
      </c>
      <c r="L19" s="110">
        <v>0</v>
      </c>
      <c r="M19" s="110">
        <v>0</v>
      </c>
      <c r="N19" s="211">
        <f t="shared" si="3"/>
        <v>46.5</v>
      </c>
      <c r="O19" s="212">
        <f>(P19/P26)*100</f>
        <v>0.35814269968660201</v>
      </c>
      <c r="P19" s="213">
        <f t="shared" si="4"/>
        <v>558</v>
      </c>
    </row>
    <row r="20" spans="1:16" x14ac:dyDescent="0.2">
      <c r="A20" s="115" t="s">
        <v>3</v>
      </c>
      <c r="B20" s="120">
        <v>25</v>
      </c>
      <c r="C20" s="110">
        <v>50</v>
      </c>
      <c r="D20" s="110">
        <v>51</v>
      </c>
      <c r="E20" s="110">
        <v>52</v>
      </c>
      <c r="F20" s="110">
        <v>37</v>
      </c>
      <c r="G20" s="110">
        <v>25</v>
      </c>
      <c r="H20" s="110">
        <v>25</v>
      </c>
      <c r="I20" s="110">
        <v>25</v>
      </c>
      <c r="J20" s="110">
        <v>25</v>
      </c>
      <c r="K20" s="110">
        <v>0</v>
      </c>
      <c r="L20" s="110">
        <v>1019</v>
      </c>
      <c r="M20" s="110">
        <v>37</v>
      </c>
      <c r="N20" s="211">
        <f t="shared" si="3"/>
        <v>114.25</v>
      </c>
      <c r="O20" s="212">
        <f>(P20/P26)*100</f>
        <v>0.87995276213321039</v>
      </c>
      <c r="P20" s="213">
        <f t="shared" si="4"/>
        <v>1371</v>
      </c>
    </row>
    <row r="21" spans="1:16" x14ac:dyDescent="0.2">
      <c r="A21" s="115" t="s">
        <v>17</v>
      </c>
      <c r="B21" s="120">
        <v>311</v>
      </c>
      <c r="C21" s="110">
        <v>311</v>
      </c>
      <c r="D21" s="110">
        <v>311</v>
      </c>
      <c r="E21" s="110">
        <v>311</v>
      </c>
      <c r="F21" s="110">
        <v>1677</v>
      </c>
      <c r="G21" s="110">
        <v>324</v>
      </c>
      <c r="H21" s="110">
        <v>311</v>
      </c>
      <c r="I21" s="110">
        <v>311</v>
      </c>
      <c r="J21" s="110">
        <v>311</v>
      </c>
      <c r="K21" s="110">
        <v>311</v>
      </c>
      <c r="L21" s="110">
        <v>376</v>
      </c>
      <c r="M21" s="110">
        <v>311</v>
      </c>
      <c r="N21" s="211">
        <f t="shared" si="3"/>
        <v>431.33333333333331</v>
      </c>
      <c r="O21" s="212">
        <f>(P21/P26)*100</f>
        <v>3.322126547630559</v>
      </c>
      <c r="P21" s="213">
        <f t="shared" si="4"/>
        <v>5176</v>
      </c>
    </row>
    <row r="22" spans="1:16" x14ac:dyDescent="0.2">
      <c r="A22" s="116" t="s">
        <v>41</v>
      </c>
      <c r="B22" s="120">
        <f xml:space="preserve"> 120+269</f>
        <v>389</v>
      </c>
      <c r="C22" s="110">
        <v>358</v>
      </c>
      <c r="D22" s="110">
        <v>298</v>
      </c>
      <c r="E22" s="110">
        <v>278</v>
      </c>
      <c r="F22" s="110">
        <v>298</v>
      </c>
      <c r="G22" s="112">
        <v>792</v>
      </c>
      <c r="H22" s="110">
        <v>456</v>
      </c>
      <c r="I22" s="110">
        <v>0</v>
      </c>
      <c r="J22" s="110">
        <v>267.02999999999997</v>
      </c>
      <c r="K22" s="110">
        <v>594.06999999999994</v>
      </c>
      <c r="L22" s="110">
        <v>705.66000000000008</v>
      </c>
      <c r="M22" s="110">
        <v>326.66000000000003</v>
      </c>
      <c r="N22" s="211">
        <f t="shared" si="3"/>
        <v>396.86833333333328</v>
      </c>
      <c r="O22" s="212">
        <f>(P22/P26)*100</f>
        <v>3.056677340217683</v>
      </c>
      <c r="P22" s="213">
        <f t="shared" si="4"/>
        <v>4762.4199999999992</v>
      </c>
    </row>
    <row r="23" spans="1:16" x14ac:dyDescent="0.2">
      <c r="A23" s="115" t="s">
        <v>5</v>
      </c>
      <c r="B23" s="120">
        <f xml:space="preserve"> 450+72+402+48</f>
        <v>972</v>
      </c>
      <c r="C23" s="110">
        <v>302.5</v>
      </c>
      <c r="D23" s="110">
        <v>1156.8900000000001</v>
      </c>
      <c r="E23" s="110">
        <v>1160</v>
      </c>
      <c r="F23" s="110">
        <v>986</v>
      </c>
      <c r="G23" s="110">
        <v>384</v>
      </c>
      <c r="H23" s="110">
        <v>913</v>
      </c>
      <c r="I23" s="111">
        <v>81.5</v>
      </c>
      <c r="J23" s="110">
        <v>406</v>
      </c>
      <c r="K23" s="110">
        <v>330</v>
      </c>
      <c r="L23" s="110">
        <v>445.5</v>
      </c>
      <c r="M23" s="110">
        <v>256</v>
      </c>
      <c r="N23" s="211">
        <f t="shared" si="3"/>
        <v>616.1158333333334</v>
      </c>
      <c r="O23" s="212">
        <f>(P23/P26)*100</f>
        <v>4.7453201692400127</v>
      </c>
      <c r="P23" s="213">
        <f t="shared" si="4"/>
        <v>7393.39</v>
      </c>
    </row>
    <row r="24" spans="1:16" x14ac:dyDescent="0.2">
      <c r="A24" s="115" t="s">
        <v>19</v>
      </c>
      <c r="B24" s="120">
        <v>40</v>
      </c>
      <c r="C24" s="110">
        <v>39.1</v>
      </c>
      <c r="D24" s="110">
        <v>39</v>
      </c>
      <c r="E24" s="110">
        <v>41</v>
      </c>
      <c r="F24" s="110">
        <f xml:space="preserve"> 80/2</f>
        <v>40</v>
      </c>
      <c r="G24" s="110">
        <v>39</v>
      </c>
      <c r="H24" s="110">
        <v>39</v>
      </c>
      <c r="I24" s="110">
        <v>18.38</v>
      </c>
      <c r="J24" s="110">
        <v>29.13</v>
      </c>
      <c r="K24" s="110">
        <v>30.049999999999997</v>
      </c>
      <c r="L24" s="110">
        <v>39.14</v>
      </c>
      <c r="M24" s="110">
        <v>39.14</v>
      </c>
      <c r="N24" s="211">
        <f t="shared" si="3"/>
        <v>36.078333333333333</v>
      </c>
      <c r="O24" s="212">
        <f>(P24/P26)*100</f>
        <v>0.27787509032673385</v>
      </c>
      <c r="P24" s="213">
        <f t="shared" si="4"/>
        <v>432.94</v>
      </c>
    </row>
    <row r="25" spans="1:16" ht="25.5" x14ac:dyDescent="0.2">
      <c r="A25" s="117" t="s">
        <v>31</v>
      </c>
      <c r="B25" s="121">
        <v>35</v>
      </c>
      <c r="C25" s="112">
        <v>0</v>
      </c>
      <c r="D25" s="112">
        <v>0</v>
      </c>
      <c r="E25" s="112">
        <v>0</v>
      </c>
      <c r="F25" s="112">
        <v>1541</v>
      </c>
      <c r="G25" s="112">
        <v>0</v>
      </c>
      <c r="H25" s="112">
        <v>0</v>
      </c>
      <c r="I25" s="112">
        <v>0</v>
      </c>
      <c r="J25" s="112">
        <v>0</v>
      </c>
      <c r="K25" s="112">
        <v>6293.05</v>
      </c>
      <c r="L25" s="112">
        <v>2560.25</v>
      </c>
      <c r="M25" s="112">
        <v>0</v>
      </c>
      <c r="N25" s="211">
        <f t="shared" si="3"/>
        <v>869.10833333333323</v>
      </c>
      <c r="O25" s="212">
        <f>(P25/P26)*100</f>
        <v>6.6938667703252293</v>
      </c>
      <c r="P25" s="213">
        <f t="shared" si="4"/>
        <v>10429.299999999999</v>
      </c>
    </row>
    <row r="26" spans="1:16" ht="15" x14ac:dyDescent="0.2">
      <c r="A26" s="122" t="s">
        <v>23</v>
      </c>
      <c r="B26" s="125">
        <f>SUM(B11:B25)</f>
        <v>10823.15</v>
      </c>
      <c r="C26" s="118">
        <f t="shared" ref="C26:M26" si="5">SUM(C11:C25)</f>
        <v>8930.0400000000009</v>
      </c>
      <c r="D26" s="118">
        <f t="shared" si="5"/>
        <v>8278.41</v>
      </c>
      <c r="E26" s="118">
        <f t="shared" si="5"/>
        <v>8675</v>
      </c>
      <c r="F26" s="118">
        <f t="shared" si="5"/>
        <v>13067.616</v>
      </c>
      <c r="G26" s="118">
        <f t="shared" si="5"/>
        <v>13074</v>
      </c>
      <c r="H26" s="118">
        <f t="shared" si="5"/>
        <v>16084</v>
      </c>
      <c r="I26" s="118">
        <f t="shared" si="5"/>
        <v>12054.931999999999</v>
      </c>
      <c r="J26" s="118">
        <f t="shared" si="5"/>
        <v>12671.349999999999</v>
      </c>
      <c r="K26" s="118">
        <f t="shared" si="5"/>
        <v>25298.309999999998</v>
      </c>
      <c r="L26" s="118">
        <f t="shared" si="5"/>
        <v>14496.519999999999</v>
      </c>
      <c r="M26" s="118">
        <f t="shared" si="5"/>
        <v>12350.49</v>
      </c>
      <c r="N26" s="132">
        <f t="shared" si="3"/>
        <v>12983.6515</v>
      </c>
      <c r="O26" s="133">
        <f>SUM(O11:O25)</f>
        <v>100.00000000000001</v>
      </c>
      <c r="P26" s="134">
        <f>SUM(P11:P25)</f>
        <v>155803.818</v>
      </c>
    </row>
    <row r="27" spans="1:16" ht="15" x14ac:dyDescent="0.2">
      <c r="A27" s="123" t="s">
        <v>77</v>
      </c>
      <c r="B27" s="127">
        <f>SUM(B9-B26)</f>
        <v>11714.269999999999</v>
      </c>
      <c r="C27" s="128">
        <f t="shared" ref="C27:M27" si="6">SUM(C9-C26)</f>
        <v>7890.9599999999991</v>
      </c>
      <c r="D27" s="128">
        <f t="shared" si="6"/>
        <v>7112.9</v>
      </c>
      <c r="E27" s="128">
        <f t="shared" si="6"/>
        <v>8150</v>
      </c>
      <c r="F27" s="128">
        <f t="shared" si="6"/>
        <v>6735.384</v>
      </c>
      <c r="G27" s="128">
        <f t="shared" si="6"/>
        <v>8600.5619999999981</v>
      </c>
      <c r="H27" s="128">
        <f t="shared" si="6"/>
        <v>8464.4659999999967</v>
      </c>
      <c r="I27" s="128">
        <f t="shared" si="6"/>
        <v>13655.208000000001</v>
      </c>
      <c r="J27" s="128">
        <f t="shared" si="6"/>
        <v>14665.330000000002</v>
      </c>
      <c r="K27" s="128">
        <f t="shared" si="6"/>
        <v>6246.7335999999996</v>
      </c>
      <c r="L27" s="128">
        <f t="shared" si="6"/>
        <v>11375.360000000002</v>
      </c>
      <c r="M27" s="128">
        <f t="shared" si="6"/>
        <v>9165.0899999999983</v>
      </c>
      <c r="N27" s="107">
        <f t="shared" si="3"/>
        <v>9481.3552999999993</v>
      </c>
      <c r="O27" s="136"/>
      <c r="P27" s="137"/>
    </row>
    <row r="28" spans="1:16" ht="15" x14ac:dyDescent="0.2">
      <c r="A28" s="124" t="s">
        <v>28</v>
      </c>
      <c r="B28" s="129">
        <f t="shared" ref="B28:M28" si="7">B26/B40</f>
        <v>0.59301682099610975</v>
      </c>
      <c r="C28" s="126">
        <f t="shared" si="7"/>
        <v>0.48923683778009097</v>
      </c>
      <c r="D28" s="126">
        <f t="shared" si="7"/>
        <v>0.51211939375193316</v>
      </c>
      <c r="E28" s="126">
        <f t="shared" si="7"/>
        <v>0.5241058482358627</v>
      </c>
      <c r="F28" s="126">
        <f t="shared" si="7"/>
        <v>0.66028073366681828</v>
      </c>
      <c r="G28" s="126">
        <f t="shared" si="7"/>
        <v>0.67135668070247512</v>
      </c>
      <c r="H28" s="126">
        <f t="shared" si="7"/>
        <v>0.75085196769525231</v>
      </c>
      <c r="I28" s="126">
        <f t="shared" si="7"/>
        <v>0.53737493870636999</v>
      </c>
      <c r="J28" s="126">
        <f t="shared" si="7"/>
        <v>0.55159977363747159</v>
      </c>
      <c r="K28" s="126">
        <f t="shared" si="7"/>
        <v>1.1356756150116716</v>
      </c>
      <c r="L28" s="126">
        <f t="shared" si="7"/>
        <v>0.64797604148042187</v>
      </c>
      <c r="M28" s="126">
        <f t="shared" si="7"/>
        <v>0.60352277169663804</v>
      </c>
      <c r="N28" s="138">
        <f t="shared" si="3"/>
        <v>0.63975978528009303</v>
      </c>
      <c r="O28" s="135"/>
      <c r="P28" s="139"/>
    </row>
    <row r="29" spans="1:16" ht="15" x14ac:dyDescent="0.2">
      <c r="A29" s="93" t="s">
        <v>20</v>
      </c>
      <c r="B29" s="130">
        <f t="shared" ref="B29:M29" si="8">B4-B28</f>
        <v>0.47698317900389031</v>
      </c>
      <c r="C29" s="131">
        <f t="shared" si="8"/>
        <v>0.58076316221990909</v>
      </c>
      <c r="D29" s="131">
        <f t="shared" si="8"/>
        <v>0.57788060624806692</v>
      </c>
      <c r="E29" s="131">
        <f t="shared" si="8"/>
        <v>0.55589415176413737</v>
      </c>
      <c r="F29" s="131">
        <f t="shared" si="8"/>
        <v>0.40371926633318178</v>
      </c>
      <c r="G29" s="131">
        <f t="shared" si="8"/>
        <v>0.44164331929752487</v>
      </c>
      <c r="H29" s="131">
        <f t="shared" si="8"/>
        <v>0.3951480323047476</v>
      </c>
      <c r="I29" s="131">
        <f t="shared" si="8"/>
        <v>0.60862506129362992</v>
      </c>
      <c r="J29" s="131">
        <f t="shared" si="8"/>
        <v>0.63840022636252836</v>
      </c>
      <c r="K29" s="131">
        <f t="shared" si="8"/>
        <v>5.4324384988328367E-2</v>
      </c>
      <c r="L29" s="131">
        <f t="shared" si="8"/>
        <v>0.51202395851957805</v>
      </c>
      <c r="M29" s="131">
        <f t="shared" si="8"/>
        <v>0.46647722830336202</v>
      </c>
      <c r="N29" s="140">
        <f t="shared" si="3"/>
        <v>0.47599021471990705</v>
      </c>
      <c r="O29" s="141"/>
      <c r="P29" s="142"/>
    </row>
    <row r="30" spans="1:16" ht="23.25" customHeight="1" x14ac:dyDescent="0.2">
      <c r="A30" s="241" t="s">
        <v>65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3"/>
    </row>
    <row r="31" spans="1:16" ht="15" x14ac:dyDescent="0.2">
      <c r="A31" s="250" t="s">
        <v>26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2"/>
    </row>
    <row r="32" spans="1:16" x14ac:dyDescent="0.2">
      <c r="A32" s="143" t="s">
        <v>38</v>
      </c>
      <c r="B32" s="146">
        <v>2640</v>
      </c>
      <c r="C32" s="147">
        <v>2640</v>
      </c>
      <c r="D32" s="147">
        <v>2640</v>
      </c>
      <c r="E32" s="147">
        <v>2640</v>
      </c>
      <c r="F32" s="147">
        <v>2640</v>
      </c>
      <c r="G32" s="147">
        <v>2640</v>
      </c>
      <c r="H32" s="147">
        <v>2640</v>
      </c>
      <c r="I32" s="147">
        <v>2640</v>
      </c>
      <c r="J32" s="147">
        <v>2640</v>
      </c>
      <c r="K32" s="147">
        <v>2640</v>
      </c>
      <c r="L32" s="147">
        <v>2640</v>
      </c>
      <c r="M32" s="147">
        <v>2640</v>
      </c>
      <c r="N32" s="107">
        <f t="shared" si="3"/>
        <v>2640</v>
      </c>
      <c r="O32" s="149"/>
      <c r="P32" s="150">
        <f>SUM(B32:M32)</f>
        <v>31680</v>
      </c>
    </row>
    <row r="33" spans="1:23" ht="25.5" x14ac:dyDescent="0.2">
      <c r="A33" s="144" t="s">
        <v>52</v>
      </c>
      <c r="B33" s="152">
        <v>4000</v>
      </c>
      <c r="C33" s="145">
        <v>4000</v>
      </c>
      <c r="D33" s="145">
        <v>4000</v>
      </c>
      <c r="E33" s="145">
        <v>4000</v>
      </c>
      <c r="F33" s="145">
        <v>4000</v>
      </c>
      <c r="G33" s="145">
        <v>4000</v>
      </c>
      <c r="H33" s="145">
        <v>4000</v>
      </c>
      <c r="I33" s="145">
        <v>4000</v>
      </c>
      <c r="J33" s="145">
        <v>4000</v>
      </c>
      <c r="K33" s="145">
        <v>4000</v>
      </c>
      <c r="L33" s="145">
        <v>4000</v>
      </c>
      <c r="M33" s="145">
        <v>4000</v>
      </c>
      <c r="N33" s="108">
        <f t="shared" si="3"/>
        <v>4000</v>
      </c>
      <c r="O33" s="148"/>
      <c r="P33" s="153">
        <f>SUM(B33:M33)</f>
        <v>48000</v>
      </c>
    </row>
    <row r="34" spans="1:23" ht="15" x14ac:dyDescent="0.2">
      <c r="A34" s="158" t="s">
        <v>26</v>
      </c>
      <c r="B34" s="162">
        <f t="shared" ref="B34:M34" si="9">SUM(B32+B33+B26)</f>
        <v>17463.150000000001</v>
      </c>
      <c r="C34" s="163">
        <f t="shared" si="9"/>
        <v>15570.04</v>
      </c>
      <c r="D34" s="163">
        <f t="shared" si="9"/>
        <v>14918.41</v>
      </c>
      <c r="E34" s="163">
        <f t="shared" si="9"/>
        <v>15315</v>
      </c>
      <c r="F34" s="163">
        <f t="shared" si="9"/>
        <v>19707.616000000002</v>
      </c>
      <c r="G34" s="163">
        <f t="shared" si="9"/>
        <v>19714</v>
      </c>
      <c r="H34" s="163">
        <f t="shared" si="9"/>
        <v>22724</v>
      </c>
      <c r="I34" s="163">
        <f t="shared" si="9"/>
        <v>18694.932000000001</v>
      </c>
      <c r="J34" s="163">
        <f t="shared" si="9"/>
        <v>19311.349999999999</v>
      </c>
      <c r="K34" s="163">
        <f t="shared" si="9"/>
        <v>31938.309999999998</v>
      </c>
      <c r="L34" s="163">
        <f t="shared" si="9"/>
        <v>21136.519999999997</v>
      </c>
      <c r="M34" s="163">
        <f t="shared" si="9"/>
        <v>18990.489999999998</v>
      </c>
      <c r="N34" s="107">
        <f t="shared" si="3"/>
        <v>19623.6515</v>
      </c>
      <c r="O34" s="149"/>
      <c r="P34" s="150">
        <f>SUM(B34:M34)</f>
        <v>235483.818</v>
      </c>
    </row>
    <row r="35" spans="1:23" x14ac:dyDescent="0.2">
      <c r="A35" s="159" t="s">
        <v>33</v>
      </c>
      <c r="B35" s="164">
        <f t="shared" ref="B35:M35" si="10">B34/B40</f>
        <v>0.95683250232863959</v>
      </c>
      <c r="C35" s="165">
        <f t="shared" si="10"/>
        <v>0.85301265545389804</v>
      </c>
      <c r="D35" s="165">
        <f t="shared" si="10"/>
        <v>0.92288339004021036</v>
      </c>
      <c r="E35" s="165">
        <f t="shared" si="10"/>
        <v>0.92526582890285158</v>
      </c>
      <c r="F35" s="165">
        <f t="shared" si="10"/>
        <v>0.99578677176494379</v>
      </c>
      <c r="G35" s="165">
        <f t="shared" si="10"/>
        <v>1.0123241244736572</v>
      </c>
      <c r="H35" s="165">
        <f t="shared" si="10"/>
        <v>1.0608281592829467</v>
      </c>
      <c r="I35" s="165">
        <f t="shared" si="10"/>
        <v>0.8333674497392235</v>
      </c>
      <c r="J35" s="165">
        <f t="shared" si="10"/>
        <v>0.84064730976841362</v>
      </c>
      <c r="K35" s="165">
        <f t="shared" si="10"/>
        <v>1.4337542646794756</v>
      </c>
      <c r="L35" s="165">
        <f t="shared" si="10"/>
        <v>0.94477561237260843</v>
      </c>
      <c r="M35" s="166">
        <f t="shared" si="10"/>
        <v>0.92799501563721642</v>
      </c>
      <c r="N35" s="154">
        <f t="shared" si="3"/>
        <v>0.97562275703700696</v>
      </c>
      <c r="O35" s="64"/>
      <c r="P35" s="155"/>
    </row>
    <row r="36" spans="1:23" x14ac:dyDescent="0.2">
      <c r="A36" s="160" t="s">
        <v>70</v>
      </c>
      <c r="B36" s="167">
        <f>SUM(B9-B34)</f>
        <v>5074.2699999999968</v>
      </c>
      <c r="C36" s="168">
        <f t="shared" ref="C36:M36" si="11">SUM(C9-C34)</f>
        <v>1250.9599999999991</v>
      </c>
      <c r="D36" s="168">
        <f t="shared" si="11"/>
        <v>472.89999999999964</v>
      </c>
      <c r="E36" s="168">
        <f t="shared" si="11"/>
        <v>1510</v>
      </c>
      <c r="F36" s="168">
        <f t="shared" si="11"/>
        <v>95.383999999998196</v>
      </c>
      <c r="G36" s="168">
        <f t="shared" si="11"/>
        <v>1960.5619999999981</v>
      </c>
      <c r="H36" s="168">
        <f t="shared" si="11"/>
        <v>1824.4659999999967</v>
      </c>
      <c r="I36" s="168">
        <f t="shared" si="11"/>
        <v>7015.2079999999987</v>
      </c>
      <c r="J36" s="168">
        <f t="shared" si="11"/>
        <v>8025.3300000000017</v>
      </c>
      <c r="K36" s="214">
        <f>SUM(K9-K34)</f>
        <v>-393.26640000000043</v>
      </c>
      <c r="L36" s="168">
        <f t="shared" si="11"/>
        <v>4735.3600000000042</v>
      </c>
      <c r="M36" s="169">
        <f t="shared" si="11"/>
        <v>2525.09</v>
      </c>
      <c r="N36" s="161">
        <f t="shared" si="3"/>
        <v>2841.3552999999993</v>
      </c>
      <c r="O36" s="156"/>
      <c r="P36" s="157"/>
    </row>
    <row r="37" spans="1:23" s="3" customFormat="1" ht="36.75" customHeight="1" thickBot="1" x14ac:dyDescent="0.25">
      <c r="A37" s="38" t="s">
        <v>30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</row>
    <row r="38" spans="1:23" ht="15.75" thickBot="1" x14ac:dyDescent="0.25">
      <c r="A38" s="253" t="s">
        <v>7</v>
      </c>
      <c r="B38" s="40" t="s">
        <v>53</v>
      </c>
      <c r="C38" s="40" t="s">
        <v>54</v>
      </c>
      <c r="D38" s="40" t="s">
        <v>55</v>
      </c>
      <c r="E38" s="40" t="s">
        <v>56</v>
      </c>
      <c r="F38" s="40" t="s">
        <v>57</v>
      </c>
      <c r="G38" s="40" t="s">
        <v>58</v>
      </c>
      <c r="H38" s="40" t="s">
        <v>59</v>
      </c>
      <c r="I38" s="40" t="s">
        <v>60</v>
      </c>
      <c r="J38" s="40" t="s">
        <v>61</v>
      </c>
      <c r="K38" s="40" t="s">
        <v>62</v>
      </c>
      <c r="L38" s="40" t="s">
        <v>63</v>
      </c>
      <c r="M38" s="40" t="s">
        <v>64</v>
      </c>
      <c r="N38" s="257" t="s">
        <v>76</v>
      </c>
      <c r="O38" s="258"/>
      <c r="P38" s="41" t="s">
        <v>0</v>
      </c>
    </row>
    <row r="39" spans="1:23" ht="24.75" thickBot="1" x14ac:dyDescent="0.25">
      <c r="A39" s="254"/>
      <c r="B39" s="237" t="s">
        <v>29</v>
      </c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55"/>
      <c r="O39" s="256"/>
      <c r="P39" s="196"/>
      <c r="R39" s="215" t="s">
        <v>78</v>
      </c>
      <c r="S39" s="1" t="s">
        <v>80</v>
      </c>
      <c r="T39" s="2"/>
      <c r="U39" s="2"/>
      <c r="V39" s="2"/>
      <c r="W39" s="2"/>
    </row>
    <row r="40" spans="1:23" ht="15" x14ac:dyDescent="0.25">
      <c r="A40" s="170" t="s">
        <v>49</v>
      </c>
      <c r="B40" s="173">
        <f>7683+7735+2120+279+434</f>
        <v>18251</v>
      </c>
      <c r="C40" s="174">
        <f>7683+7735+2120+280+435</f>
        <v>18253</v>
      </c>
      <c r="D40" s="174">
        <f>744+7031+7030+1360</f>
        <v>16165</v>
      </c>
      <c r="E40" s="174">
        <v>16552</v>
      </c>
      <c r="F40" s="174">
        <f>8240+8178+2195+930+248</f>
        <v>19791</v>
      </c>
      <c r="G40" s="174">
        <f>8157+8354+1785+930+248</f>
        <v>19474</v>
      </c>
      <c r="H40" s="174">
        <f>9170+8801+2272+930+248</f>
        <v>21421</v>
      </c>
      <c r="I40" s="174">
        <f>9646+9603+1944+248+992</f>
        <v>22433</v>
      </c>
      <c r="J40" s="174">
        <f>9984+10058+1700+270+960</f>
        <v>22972</v>
      </c>
      <c r="K40" s="174">
        <f>11149+11127</f>
        <v>22276</v>
      </c>
      <c r="L40" s="174">
        <f>9637+10225+1820+420+270</f>
        <v>22372</v>
      </c>
      <c r="M40" s="174">
        <f>(8786+8790+434+2175+279)</f>
        <v>20464</v>
      </c>
      <c r="N40" s="226">
        <f t="shared" ref="N40:N59" si="12">AVERAGE(B40:M40)</f>
        <v>20035.333333333332</v>
      </c>
      <c r="O40" s="227"/>
      <c r="P40" s="150">
        <f>SUM(B40:M40)</f>
        <v>240424</v>
      </c>
      <c r="R40" s="216" t="s">
        <v>79</v>
      </c>
      <c r="S40" s="1" t="s">
        <v>79</v>
      </c>
      <c r="T40" s="2"/>
      <c r="U40" s="2"/>
      <c r="V40" s="2"/>
      <c r="W40" s="2"/>
    </row>
    <row r="41" spans="1:23" ht="15.75" thickBot="1" x14ac:dyDescent="0.3">
      <c r="A41" s="170" t="s">
        <v>48</v>
      </c>
      <c r="B41" s="177">
        <f>SUM(B40/31)</f>
        <v>588.74193548387098</v>
      </c>
      <c r="C41" s="172">
        <f>SUM(C40/28)</f>
        <v>651.89285714285711</v>
      </c>
      <c r="D41" s="172">
        <f t="shared" ref="D41:M41" si="13">SUM(D40/31)</f>
        <v>521.45161290322585</v>
      </c>
      <c r="E41" s="172">
        <f>SUM(E40/30)</f>
        <v>551.73333333333335</v>
      </c>
      <c r="F41" s="172">
        <f t="shared" si="13"/>
        <v>638.41935483870964</v>
      </c>
      <c r="G41" s="172">
        <f>SUM(G40/30)</f>
        <v>649.13333333333333</v>
      </c>
      <c r="H41" s="172">
        <f t="shared" si="13"/>
        <v>691</v>
      </c>
      <c r="I41" s="172">
        <f>SUM(I40/31)</f>
        <v>723.64516129032256</v>
      </c>
      <c r="J41" s="172">
        <f>SUM(J40/30)</f>
        <v>765.73333333333335</v>
      </c>
      <c r="K41" s="172">
        <f t="shared" si="13"/>
        <v>718.58064516129036</v>
      </c>
      <c r="L41" s="172">
        <f>SUM(L40/30)</f>
        <v>745.73333333333335</v>
      </c>
      <c r="M41" s="172">
        <f t="shared" si="13"/>
        <v>660.12903225806451</v>
      </c>
      <c r="N41" s="224">
        <f>AVERAGE(B41:M41)</f>
        <v>658.84949436763964</v>
      </c>
      <c r="O41" s="225"/>
      <c r="P41" s="197"/>
      <c r="R41" s="217"/>
      <c r="S41" s="218">
        <v>10</v>
      </c>
      <c r="T41" s="218">
        <v>9</v>
      </c>
      <c r="U41" s="218">
        <v>8</v>
      </c>
      <c r="V41" s="218">
        <v>7</v>
      </c>
      <c r="W41" s="218">
        <v>6</v>
      </c>
    </row>
    <row r="42" spans="1:23" ht="14.25" x14ac:dyDescent="0.2">
      <c r="A42" s="175" t="s">
        <v>15</v>
      </c>
      <c r="B42" s="180">
        <v>0</v>
      </c>
      <c r="C42" s="181">
        <v>0</v>
      </c>
      <c r="D42" s="181">
        <v>0</v>
      </c>
      <c r="E42" s="181">
        <v>0</v>
      </c>
      <c r="F42" s="181">
        <v>0</v>
      </c>
      <c r="G42" s="181">
        <v>0</v>
      </c>
      <c r="H42" s="181">
        <v>0</v>
      </c>
      <c r="I42" s="181">
        <v>0</v>
      </c>
      <c r="J42" s="181">
        <v>0</v>
      </c>
      <c r="K42" s="181">
        <v>0</v>
      </c>
      <c r="L42" s="181">
        <v>0</v>
      </c>
      <c r="M42" s="181">
        <v>0</v>
      </c>
      <c r="N42" s="224">
        <f t="shared" si="12"/>
        <v>0</v>
      </c>
      <c r="O42" s="225"/>
      <c r="P42" s="198"/>
      <c r="R42" s="219"/>
      <c r="S42" s="220"/>
      <c r="T42" s="220"/>
      <c r="U42" s="220" t="s">
        <v>2</v>
      </c>
      <c r="V42" s="220"/>
      <c r="W42" s="220"/>
    </row>
    <row r="43" spans="1:23" ht="14.25" x14ac:dyDescent="0.2">
      <c r="A43" s="175" t="s">
        <v>14</v>
      </c>
      <c r="B43" s="182">
        <v>3</v>
      </c>
      <c r="C43" s="178">
        <v>3</v>
      </c>
      <c r="D43" s="178">
        <v>3</v>
      </c>
      <c r="E43" s="178">
        <v>3</v>
      </c>
      <c r="F43" s="178">
        <v>2</v>
      </c>
      <c r="G43" s="178">
        <v>2</v>
      </c>
      <c r="H43" s="178">
        <v>3</v>
      </c>
      <c r="I43" s="178">
        <v>3</v>
      </c>
      <c r="J43" s="178">
        <v>3</v>
      </c>
      <c r="K43" s="178">
        <v>3</v>
      </c>
      <c r="L43" s="178">
        <v>3</v>
      </c>
      <c r="M43" s="178">
        <v>3</v>
      </c>
      <c r="N43" s="224">
        <f t="shared" si="12"/>
        <v>2.8333333333333335</v>
      </c>
      <c r="O43" s="225"/>
      <c r="P43" s="198"/>
      <c r="R43" s="219">
        <v>12</v>
      </c>
      <c r="S43" s="220">
        <v>83</v>
      </c>
      <c r="T43" s="220">
        <v>75</v>
      </c>
      <c r="U43" s="220">
        <v>66</v>
      </c>
      <c r="V43" s="220">
        <v>58</v>
      </c>
      <c r="W43" s="220">
        <v>50</v>
      </c>
    </row>
    <row r="44" spans="1:23" ht="26.25" x14ac:dyDescent="0.2">
      <c r="A44" s="176" t="s">
        <v>50</v>
      </c>
      <c r="B44" s="182">
        <v>4</v>
      </c>
      <c r="C44" s="178">
        <v>5</v>
      </c>
      <c r="D44" s="178">
        <v>6</v>
      </c>
      <c r="E44" s="178">
        <v>6</v>
      </c>
      <c r="F44" s="178">
        <v>6</v>
      </c>
      <c r="G44" s="178">
        <v>6</v>
      </c>
      <c r="H44" s="178">
        <v>6</v>
      </c>
      <c r="I44" s="178">
        <v>6</v>
      </c>
      <c r="J44" s="178">
        <v>8</v>
      </c>
      <c r="K44" s="178">
        <v>8</v>
      </c>
      <c r="L44" s="178">
        <v>6</v>
      </c>
      <c r="M44" s="178">
        <v>10</v>
      </c>
      <c r="N44" s="224">
        <f t="shared" si="12"/>
        <v>6.416666666666667</v>
      </c>
      <c r="O44" s="225"/>
      <c r="P44" s="198"/>
      <c r="R44" s="219">
        <v>14</v>
      </c>
      <c r="S44" s="220">
        <v>71</v>
      </c>
      <c r="T44" s="220">
        <v>64</v>
      </c>
      <c r="U44" s="220">
        <v>55</v>
      </c>
      <c r="V44" s="220">
        <v>50</v>
      </c>
      <c r="W44" s="220">
        <v>42</v>
      </c>
    </row>
    <row r="45" spans="1:23" ht="26.25" x14ac:dyDescent="0.2">
      <c r="A45" s="176" t="s">
        <v>51</v>
      </c>
      <c r="B45" s="182">
        <v>13</v>
      </c>
      <c r="C45" s="178">
        <v>13</v>
      </c>
      <c r="D45" s="178">
        <v>13</v>
      </c>
      <c r="E45" s="178">
        <v>16</v>
      </c>
      <c r="F45" s="178">
        <v>6</v>
      </c>
      <c r="G45" s="178">
        <v>6</v>
      </c>
      <c r="H45" s="178">
        <v>7</v>
      </c>
      <c r="I45" s="178">
        <v>7</v>
      </c>
      <c r="J45" s="178">
        <v>7</v>
      </c>
      <c r="K45" s="178">
        <v>7</v>
      </c>
      <c r="L45" s="178">
        <v>10</v>
      </c>
      <c r="M45" s="178">
        <v>14</v>
      </c>
      <c r="N45" s="224">
        <f t="shared" si="12"/>
        <v>9.9166666666666661</v>
      </c>
      <c r="O45" s="225"/>
      <c r="P45" s="198"/>
      <c r="R45" s="219">
        <v>18</v>
      </c>
      <c r="S45" s="220">
        <v>55</v>
      </c>
      <c r="T45" s="220">
        <v>50</v>
      </c>
      <c r="U45" s="220">
        <v>44</v>
      </c>
      <c r="V45" s="220">
        <v>38</v>
      </c>
      <c r="W45" s="220">
        <v>33</v>
      </c>
    </row>
    <row r="46" spans="1:23" ht="15" thickBot="1" x14ac:dyDescent="0.25">
      <c r="A46" s="175" t="s">
        <v>16</v>
      </c>
      <c r="B46" s="182">
        <v>16</v>
      </c>
      <c r="C46" s="178">
        <v>16</v>
      </c>
      <c r="D46" s="178">
        <v>16</v>
      </c>
      <c r="E46" s="178">
        <v>16</v>
      </c>
      <c r="F46" s="178">
        <v>13</v>
      </c>
      <c r="G46" s="178">
        <v>13</v>
      </c>
      <c r="H46" s="178">
        <v>13</v>
      </c>
      <c r="I46" s="178">
        <v>13</v>
      </c>
      <c r="J46" s="178">
        <v>13</v>
      </c>
      <c r="K46" s="178">
        <v>13</v>
      </c>
      <c r="L46" s="178">
        <v>13</v>
      </c>
      <c r="M46" s="178">
        <v>12</v>
      </c>
      <c r="N46" s="224">
        <f t="shared" si="12"/>
        <v>13.916666666666666</v>
      </c>
      <c r="O46" s="225"/>
      <c r="P46" s="198"/>
      <c r="R46" s="221">
        <v>24</v>
      </c>
      <c r="S46" s="218">
        <v>41</v>
      </c>
      <c r="T46" s="218">
        <v>37</v>
      </c>
      <c r="U46" s="218">
        <v>33</v>
      </c>
      <c r="V46" s="218">
        <v>29</v>
      </c>
      <c r="W46" s="218">
        <v>25</v>
      </c>
    </row>
    <row r="47" spans="1:23" ht="14.25" x14ac:dyDescent="0.2">
      <c r="A47" s="175" t="s">
        <v>11</v>
      </c>
      <c r="B47" s="182">
        <v>13</v>
      </c>
      <c r="C47" s="178">
        <v>13</v>
      </c>
      <c r="D47" s="178">
        <v>10</v>
      </c>
      <c r="E47" s="178">
        <v>10</v>
      </c>
      <c r="F47" s="178">
        <v>16</v>
      </c>
      <c r="G47" s="178">
        <v>16</v>
      </c>
      <c r="H47" s="178">
        <v>16</v>
      </c>
      <c r="I47" s="178">
        <v>14</v>
      </c>
      <c r="J47" s="178">
        <v>14</v>
      </c>
      <c r="K47" s="178">
        <v>14</v>
      </c>
      <c r="L47" s="178">
        <v>14</v>
      </c>
      <c r="M47" s="178">
        <v>14</v>
      </c>
      <c r="N47" s="224">
        <f t="shared" si="12"/>
        <v>13.666666666666666</v>
      </c>
      <c r="O47" s="225"/>
      <c r="P47" s="198"/>
    </row>
    <row r="48" spans="1:23" ht="14.25" x14ac:dyDescent="0.2">
      <c r="A48" s="175" t="s">
        <v>12</v>
      </c>
      <c r="B48" s="182">
        <v>10</v>
      </c>
      <c r="C48" s="178">
        <v>10</v>
      </c>
      <c r="D48" s="178">
        <v>14</v>
      </c>
      <c r="E48" s="178">
        <v>14</v>
      </c>
      <c r="F48" s="178">
        <v>11</v>
      </c>
      <c r="G48" s="178">
        <v>9</v>
      </c>
      <c r="H48" s="178">
        <v>7</v>
      </c>
      <c r="I48" s="178">
        <v>2</v>
      </c>
      <c r="J48" s="178">
        <v>2</v>
      </c>
      <c r="K48" s="178">
        <v>4</v>
      </c>
      <c r="L48" s="178">
        <v>4</v>
      </c>
      <c r="M48" s="178">
        <v>9</v>
      </c>
      <c r="N48" s="224">
        <f t="shared" si="12"/>
        <v>8</v>
      </c>
      <c r="O48" s="225"/>
      <c r="P48" s="198"/>
    </row>
    <row r="49" spans="1:16" ht="14.25" x14ac:dyDescent="0.2">
      <c r="A49" s="175" t="s">
        <v>13</v>
      </c>
      <c r="B49" s="182">
        <v>32</v>
      </c>
      <c r="C49" s="178">
        <v>32</v>
      </c>
      <c r="D49" s="178">
        <v>31</v>
      </c>
      <c r="E49" s="178">
        <v>31</v>
      </c>
      <c r="F49" s="178">
        <v>30</v>
      </c>
      <c r="G49" s="178">
        <v>32</v>
      </c>
      <c r="H49" s="178">
        <v>34</v>
      </c>
      <c r="I49" s="178">
        <v>40</v>
      </c>
      <c r="J49" s="178">
        <v>39</v>
      </c>
      <c r="K49" s="178">
        <v>37</v>
      </c>
      <c r="L49" s="178">
        <v>37</v>
      </c>
      <c r="M49" s="178">
        <v>32</v>
      </c>
      <c r="N49" s="224">
        <f t="shared" si="12"/>
        <v>33.916666666666664</v>
      </c>
      <c r="O49" s="225"/>
      <c r="P49" s="198"/>
    </row>
    <row r="50" spans="1:16" ht="15" x14ac:dyDescent="0.25">
      <c r="A50" s="170" t="s">
        <v>8</v>
      </c>
      <c r="B50" s="183">
        <f>SUM(B42:B49)</f>
        <v>91</v>
      </c>
      <c r="C50" s="179">
        <f t="shared" ref="C50:M50" si="14">SUM(C42:C49)</f>
        <v>92</v>
      </c>
      <c r="D50" s="179">
        <f t="shared" si="14"/>
        <v>93</v>
      </c>
      <c r="E50" s="179">
        <f t="shared" si="14"/>
        <v>96</v>
      </c>
      <c r="F50" s="179">
        <f t="shared" si="14"/>
        <v>84</v>
      </c>
      <c r="G50" s="179">
        <f t="shared" si="14"/>
        <v>84</v>
      </c>
      <c r="H50" s="179">
        <f t="shared" si="14"/>
        <v>86</v>
      </c>
      <c r="I50" s="179">
        <f t="shared" si="14"/>
        <v>85</v>
      </c>
      <c r="J50" s="179">
        <f t="shared" si="14"/>
        <v>86</v>
      </c>
      <c r="K50" s="179">
        <f t="shared" si="14"/>
        <v>86</v>
      </c>
      <c r="L50" s="179">
        <f t="shared" si="14"/>
        <v>87</v>
      </c>
      <c r="M50" s="179">
        <f t="shared" si="14"/>
        <v>94</v>
      </c>
      <c r="N50" s="224">
        <f>AVERAGE(B50:M50)</f>
        <v>88.666666666666671</v>
      </c>
      <c r="O50" s="225"/>
      <c r="P50" s="198"/>
    </row>
    <row r="51" spans="1:16" ht="15" x14ac:dyDescent="0.25">
      <c r="A51" s="170" t="s">
        <v>42</v>
      </c>
      <c r="B51" s="173">
        <f>SUM(B48+B49)</f>
        <v>42</v>
      </c>
      <c r="C51" s="174">
        <f t="shared" ref="C51:M51" si="15">SUM(C48+C49)</f>
        <v>42</v>
      </c>
      <c r="D51" s="174">
        <f t="shared" si="15"/>
        <v>45</v>
      </c>
      <c r="E51" s="174">
        <f t="shared" si="15"/>
        <v>45</v>
      </c>
      <c r="F51" s="174">
        <f t="shared" si="15"/>
        <v>41</v>
      </c>
      <c r="G51" s="174">
        <f t="shared" si="15"/>
        <v>41</v>
      </c>
      <c r="H51" s="174">
        <f t="shared" si="15"/>
        <v>41</v>
      </c>
      <c r="I51" s="174">
        <f t="shared" si="15"/>
        <v>42</v>
      </c>
      <c r="J51" s="174">
        <f t="shared" si="15"/>
        <v>41</v>
      </c>
      <c r="K51" s="174">
        <f t="shared" si="15"/>
        <v>41</v>
      </c>
      <c r="L51" s="174">
        <f t="shared" si="15"/>
        <v>41</v>
      </c>
      <c r="M51" s="174">
        <f t="shared" si="15"/>
        <v>41</v>
      </c>
      <c r="N51" s="224">
        <f t="shared" si="12"/>
        <v>41.916666666666664</v>
      </c>
      <c r="O51" s="225"/>
      <c r="P51" s="198"/>
    </row>
    <row r="52" spans="1:16" ht="15" x14ac:dyDescent="0.25">
      <c r="A52" s="170" t="s">
        <v>34</v>
      </c>
      <c r="B52" s="186">
        <f t="shared" ref="B52:M52" si="16">SUM(B48+B49)/B50*100</f>
        <v>46.153846153846153</v>
      </c>
      <c r="C52" s="171">
        <f t="shared" si="16"/>
        <v>45.652173913043477</v>
      </c>
      <c r="D52" s="171">
        <f t="shared" si="16"/>
        <v>48.387096774193552</v>
      </c>
      <c r="E52" s="171">
        <f t="shared" si="16"/>
        <v>46.875</v>
      </c>
      <c r="F52" s="171">
        <f t="shared" si="16"/>
        <v>48.80952380952381</v>
      </c>
      <c r="G52" s="171">
        <f t="shared" si="16"/>
        <v>48.80952380952381</v>
      </c>
      <c r="H52" s="171">
        <f t="shared" si="16"/>
        <v>47.674418604651166</v>
      </c>
      <c r="I52" s="171">
        <f t="shared" si="16"/>
        <v>49.411764705882355</v>
      </c>
      <c r="J52" s="171">
        <f t="shared" si="16"/>
        <v>47.674418604651166</v>
      </c>
      <c r="K52" s="171">
        <f t="shared" si="16"/>
        <v>47.674418604651166</v>
      </c>
      <c r="L52" s="171">
        <f t="shared" si="16"/>
        <v>47.126436781609193</v>
      </c>
      <c r="M52" s="171">
        <f t="shared" si="16"/>
        <v>43.61702127659575</v>
      </c>
      <c r="N52" s="224">
        <f>AVERAGE(B52:M52)</f>
        <v>47.322136919847644</v>
      </c>
      <c r="O52" s="225"/>
      <c r="P52" s="198"/>
    </row>
    <row r="53" spans="1:16" ht="15" x14ac:dyDescent="0.25">
      <c r="A53" s="170" t="s">
        <v>9</v>
      </c>
      <c r="B53" s="186">
        <f t="shared" ref="B53:M53" si="17">B49/B51*100</f>
        <v>76.19047619047619</v>
      </c>
      <c r="C53" s="171">
        <f t="shared" si="17"/>
        <v>76.19047619047619</v>
      </c>
      <c r="D53" s="171">
        <f t="shared" si="17"/>
        <v>68.888888888888886</v>
      </c>
      <c r="E53" s="171">
        <f t="shared" si="17"/>
        <v>68.888888888888886</v>
      </c>
      <c r="F53" s="171">
        <f t="shared" si="17"/>
        <v>73.170731707317074</v>
      </c>
      <c r="G53" s="171">
        <f t="shared" si="17"/>
        <v>78.048780487804876</v>
      </c>
      <c r="H53" s="171">
        <f t="shared" si="17"/>
        <v>82.926829268292678</v>
      </c>
      <c r="I53" s="171">
        <f t="shared" si="17"/>
        <v>95.238095238095227</v>
      </c>
      <c r="J53" s="171">
        <f t="shared" si="17"/>
        <v>95.121951219512198</v>
      </c>
      <c r="K53" s="171">
        <f t="shared" si="17"/>
        <v>90.243902439024396</v>
      </c>
      <c r="L53" s="171">
        <f t="shared" si="17"/>
        <v>90.243902439024396</v>
      </c>
      <c r="M53" s="171">
        <f t="shared" si="17"/>
        <v>78.048780487804876</v>
      </c>
      <c r="N53" s="224">
        <f t="shared" si="12"/>
        <v>81.100141953800474</v>
      </c>
      <c r="O53" s="225"/>
      <c r="P53" s="198"/>
    </row>
    <row r="54" spans="1:16" ht="15" x14ac:dyDescent="0.25">
      <c r="A54" s="170" t="s">
        <v>10</v>
      </c>
      <c r="B54" s="188">
        <f>SUM(B40/B49)/31</f>
        <v>18.398185483870968</v>
      </c>
      <c r="C54" s="185">
        <f>SUM(C40/C49)/28</f>
        <v>20.371651785714285</v>
      </c>
      <c r="D54" s="185">
        <f>SUM(D40/D49)/31</f>
        <v>16.8210197710718</v>
      </c>
      <c r="E54" s="185">
        <f>SUM(E40/E49)/30</f>
        <v>17.797849462365591</v>
      </c>
      <c r="F54" s="185">
        <f>SUM(F40/F49)/31</f>
        <v>21.280645161290323</v>
      </c>
      <c r="G54" s="185">
        <f>SUM(G40/G49)/30</f>
        <v>20.285416666666666</v>
      </c>
      <c r="H54" s="185">
        <f>SUM(H40/H49)/31</f>
        <v>20.323529411764707</v>
      </c>
      <c r="I54" s="185">
        <f>SUM(I40/I49)/31</f>
        <v>18.091129032258067</v>
      </c>
      <c r="J54" s="185">
        <f>SUM(J40/J49)/30</f>
        <v>19.634188034188032</v>
      </c>
      <c r="K54" s="185">
        <f>SUM(K40/K49)/31</f>
        <v>19.421098517872711</v>
      </c>
      <c r="L54" s="185">
        <f>SUM(L40/L49)/30</f>
        <v>20.154954954954956</v>
      </c>
      <c r="M54" s="185">
        <f>SUM(M40/M49)/31</f>
        <v>20.629032258064516</v>
      </c>
      <c r="N54" s="230">
        <f t="shared" si="12"/>
        <v>19.434058378340218</v>
      </c>
      <c r="O54" s="231"/>
      <c r="P54" s="198"/>
    </row>
    <row r="55" spans="1:16" ht="14.25" x14ac:dyDescent="0.2">
      <c r="A55" s="175" t="s">
        <v>66</v>
      </c>
      <c r="B55" s="189">
        <v>2</v>
      </c>
      <c r="C55" s="190">
        <v>2</v>
      </c>
      <c r="D55" s="190">
        <v>2</v>
      </c>
      <c r="E55" s="190">
        <v>2</v>
      </c>
      <c r="F55" s="190">
        <v>2</v>
      </c>
      <c r="G55" s="190">
        <v>2</v>
      </c>
      <c r="H55" s="190">
        <v>2</v>
      </c>
      <c r="I55" s="190">
        <v>2</v>
      </c>
      <c r="J55" s="190">
        <v>2</v>
      </c>
      <c r="K55" s="190">
        <v>2</v>
      </c>
      <c r="L55" s="190">
        <v>2</v>
      </c>
      <c r="M55" s="190">
        <v>2</v>
      </c>
      <c r="N55" s="224">
        <f t="shared" ref="N55:N56" si="18">AVERAGE(B55:M55)</f>
        <v>2</v>
      </c>
      <c r="O55" s="225"/>
      <c r="P55" s="198"/>
    </row>
    <row r="56" spans="1:16" ht="13.5" x14ac:dyDescent="0.2">
      <c r="A56" s="187" t="s">
        <v>74</v>
      </c>
      <c r="B56" s="192">
        <f>28+20</f>
        <v>48</v>
      </c>
      <c r="C56" s="58">
        <f t="shared" ref="C56:M56" si="19">28+20</f>
        <v>48</v>
      </c>
      <c r="D56" s="58">
        <f t="shared" si="19"/>
        <v>48</v>
      </c>
      <c r="E56" s="58">
        <f t="shared" si="19"/>
        <v>48</v>
      </c>
      <c r="F56" s="58">
        <f t="shared" si="19"/>
        <v>48</v>
      </c>
      <c r="G56" s="58">
        <f t="shared" si="19"/>
        <v>48</v>
      </c>
      <c r="H56" s="58">
        <f t="shared" si="19"/>
        <v>48</v>
      </c>
      <c r="I56" s="58">
        <f t="shared" si="19"/>
        <v>48</v>
      </c>
      <c r="J56" s="58">
        <f t="shared" si="19"/>
        <v>48</v>
      </c>
      <c r="K56" s="58">
        <f t="shared" si="19"/>
        <v>48</v>
      </c>
      <c r="L56" s="58">
        <f t="shared" si="19"/>
        <v>48</v>
      </c>
      <c r="M56" s="58">
        <f t="shared" si="19"/>
        <v>48</v>
      </c>
      <c r="N56" s="224">
        <f t="shared" si="18"/>
        <v>48</v>
      </c>
      <c r="O56" s="225"/>
      <c r="P56" s="198"/>
    </row>
    <row r="57" spans="1:16" ht="15" x14ac:dyDescent="0.25">
      <c r="A57" s="191" t="s">
        <v>75</v>
      </c>
      <c r="B57" s="173">
        <f>SUM(B40/B55)/31</f>
        <v>294.37096774193549</v>
      </c>
      <c r="C57" s="174">
        <f>SUM(C40/C55)/28</f>
        <v>325.94642857142856</v>
      </c>
      <c r="D57" s="174">
        <f t="shared" ref="D57:M57" si="20">SUM(D40/D55)/31</f>
        <v>260.72580645161293</v>
      </c>
      <c r="E57" s="174">
        <f>SUM(E40/E55)/30</f>
        <v>275.86666666666667</v>
      </c>
      <c r="F57" s="174">
        <f t="shared" si="20"/>
        <v>319.20967741935482</v>
      </c>
      <c r="G57" s="174">
        <f>SUM(G40/G55)/30</f>
        <v>324.56666666666666</v>
      </c>
      <c r="H57" s="174">
        <f t="shared" si="20"/>
        <v>345.5</v>
      </c>
      <c r="I57" s="174">
        <f t="shared" si="20"/>
        <v>361.82258064516128</v>
      </c>
      <c r="J57" s="174">
        <f>SUM(J40/J55)/30</f>
        <v>382.86666666666667</v>
      </c>
      <c r="K57" s="174">
        <f t="shared" si="20"/>
        <v>359.29032258064518</v>
      </c>
      <c r="L57" s="174">
        <f>SUM(L40/L55)/30</f>
        <v>372.86666666666667</v>
      </c>
      <c r="M57" s="174">
        <f t="shared" si="20"/>
        <v>330.06451612903226</v>
      </c>
      <c r="N57" s="224">
        <f t="shared" si="12"/>
        <v>329.42474718381982</v>
      </c>
      <c r="O57" s="225"/>
      <c r="P57" s="198"/>
    </row>
    <row r="58" spans="1:16" ht="15" x14ac:dyDescent="0.25">
      <c r="A58" s="170" t="s">
        <v>72</v>
      </c>
      <c r="B58" s="186">
        <f>SUM(B40/B56)</f>
        <v>380.22916666666669</v>
      </c>
      <c r="C58" s="171">
        <f t="shared" ref="C58:M58" si="21">SUM(C40/C56)</f>
        <v>380.27083333333331</v>
      </c>
      <c r="D58" s="171">
        <f t="shared" si="21"/>
        <v>336.77083333333331</v>
      </c>
      <c r="E58" s="171">
        <f t="shared" si="21"/>
        <v>344.83333333333331</v>
      </c>
      <c r="F58" s="171">
        <f t="shared" si="21"/>
        <v>412.3125</v>
      </c>
      <c r="G58" s="171">
        <f t="shared" si="21"/>
        <v>405.70833333333331</v>
      </c>
      <c r="H58" s="171">
        <f t="shared" si="21"/>
        <v>446.27083333333331</v>
      </c>
      <c r="I58" s="171">
        <f t="shared" si="21"/>
        <v>467.35416666666669</v>
      </c>
      <c r="J58" s="171">
        <f t="shared" si="21"/>
        <v>478.58333333333331</v>
      </c>
      <c r="K58" s="171">
        <f t="shared" si="21"/>
        <v>464.08333333333331</v>
      </c>
      <c r="L58" s="171">
        <f t="shared" si="21"/>
        <v>466.08333333333331</v>
      </c>
      <c r="M58" s="171">
        <f t="shared" si="21"/>
        <v>426.33333333333331</v>
      </c>
      <c r="N58" s="224">
        <f t="shared" si="12"/>
        <v>417.40277777777777</v>
      </c>
      <c r="O58" s="225"/>
      <c r="P58" s="198"/>
    </row>
    <row r="59" spans="1:16" ht="15" x14ac:dyDescent="0.25">
      <c r="A59" s="170" t="s">
        <v>73</v>
      </c>
      <c r="B59" s="193">
        <f t="shared" ref="B59" si="22">B58*12</f>
        <v>4562.75</v>
      </c>
      <c r="C59" s="194">
        <f t="shared" ref="C59:M59" si="23">C58*12</f>
        <v>4563.25</v>
      </c>
      <c r="D59" s="194">
        <f t="shared" si="23"/>
        <v>4041.25</v>
      </c>
      <c r="E59" s="194">
        <f t="shared" si="23"/>
        <v>4138</v>
      </c>
      <c r="F59" s="194">
        <f t="shared" si="23"/>
        <v>4947.75</v>
      </c>
      <c r="G59" s="194">
        <f t="shared" si="23"/>
        <v>4868.5</v>
      </c>
      <c r="H59" s="194">
        <f t="shared" si="23"/>
        <v>5355.25</v>
      </c>
      <c r="I59" s="194">
        <f t="shared" si="23"/>
        <v>5608.25</v>
      </c>
      <c r="J59" s="194">
        <f t="shared" si="23"/>
        <v>5743</v>
      </c>
      <c r="K59" s="194">
        <f t="shared" si="23"/>
        <v>5569</v>
      </c>
      <c r="L59" s="194">
        <f t="shared" si="23"/>
        <v>5593</v>
      </c>
      <c r="M59" s="194">
        <f t="shared" si="23"/>
        <v>5116</v>
      </c>
      <c r="N59" s="224">
        <f t="shared" si="12"/>
        <v>5008.833333333333</v>
      </c>
      <c r="O59" s="225"/>
      <c r="P59" s="198"/>
    </row>
    <row r="60" spans="1:16" ht="15" x14ac:dyDescent="0.25">
      <c r="A60" s="43" t="s">
        <v>39</v>
      </c>
      <c r="B60" s="184">
        <v>3</v>
      </c>
      <c r="C60" s="184">
        <v>0</v>
      </c>
      <c r="D60" s="184">
        <v>0</v>
      </c>
      <c r="E60" s="184">
        <v>0</v>
      </c>
      <c r="F60" s="184">
        <v>0</v>
      </c>
      <c r="G60" s="184">
        <v>0</v>
      </c>
      <c r="H60" s="184">
        <v>0</v>
      </c>
      <c r="I60" s="184">
        <v>0</v>
      </c>
      <c r="J60" s="184">
        <v>0</v>
      </c>
      <c r="K60" s="184">
        <v>0</v>
      </c>
      <c r="L60" s="184">
        <v>0</v>
      </c>
      <c r="M60" s="195">
        <v>0</v>
      </c>
      <c r="N60" s="228">
        <f t="shared" ref="N60" si="24">AVERAGE(B60:M60)</f>
        <v>0.25</v>
      </c>
      <c r="O60" s="229"/>
      <c r="P60" s="151">
        <f>SUM(B60:M60)</f>
        <v>3</v>
      </c>
    </row>
    <row r="61" spans="1:16" ht="21" customHeight="1" x14ac:dyDescent="0.2">
      <c r="A61" s="223" t="s">
        <v>81</v>
      </c>
    </row>
    <row r="62" spans="1:16" s="61" customFormat="1" ht="14.25" customHeight="1" x14ac:dyDescent="0.2">
      <c r="A62" s="222"/>
      <c r="N62" s="62"/>
    </row>
    <row r="63" spans="1:16" s="61" customFormat="1" ht="13.5" x14ac:dyDescent="0.2">
      <c r="A63" s="57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62"/>
    </row>
    <row r="64" spans="1:16" ht="13.5" x14ac:dyDescent="0.2">
      <c r="A64" s="57"/>
      <c r="B64" s="58"/>
      <c r="C64" s="58"/>
      <c r="D64" s="58"/>
      <c r="E64" s="59"/>
      <c r="F64" s="59"/>
      <c r="G64" s="59"/>
      <c r="H64" s="59"/>
      <c r="I64" s="59"/>
      <c r="J64" s="59"/>
      <c r="K64" s="59"/>
      <c r="L64" s="59"/>
      <c r="M64" s="59"/>
      <c r="N64" s="60"/>
    </row>
  </sheetData>
  <sortState ref="A10:P24">
    <sortCondition ref="A10"/>
  </sortState>
  <mergeCells count="35">
    <mergeCell ref="A1:P1"/>
    <mergeCell ref="B2:M2"/>
    <mergeCell ref="N2:P2"/>
    <mergeCell ref="B39:M39"/>
    <mergeCell ref="A2:A3"/>
    <mergeCell ref="A30:P30"/>
    <mergeCell ref="A5:P5"/>
    <mergeCell ref="A10:P10"/>
    <mergeCell ref="A31:P31"/>
    <mergeCell ref="A38:A39"/>
    <mergeCell ref="N39:O39"/>
    <mergeCell ref="N38:O38"/>
    <mergeCell ref="N60:O60"/>
    <mergeCell ref="N53:O53"/>
    <mergeCell ref="N54:O54"/>
    <mergeCell ref="N57:O57"/>
    <mergeCell ref="N58:O58"/>
    <mergeCell ref="N59:O59"/>
    <mergeCell ref="N55:O55"/>
    <mergeCell ref="N56:O56"/>
    <mergeCell ref="S39:W39"/>
    <mergeCell ref="S40:W40"/>
    <mergeCell ref="N50:O50"/>
    <mergeCell ref="N51:O51"/>
    <mergeCell ref="N52:O52"/>
    <mergeCell ref="N45:O45"/>
    <mergeCell ref="N46:O46"/>
    <mergeCell ref="N47:O47"/>
    <mergeCell ref="N48:O48"/>
    <mergeCell ref="N49:O49"/>
    <mergeCell ref="N40:O40"/>
    <mergeCell ref="N41:O41"/>
    <mergeCell ref="N42:O42"/>
    <mergeCell ref="N43:O43"/>
    <mergeCell ref="N44:O44"/>
  </mergeCells>
  <hyperlinks>
    <hyperlink ref="A61" r:id="rId1" display="Observações: Para download das fichas em branco de controle da atividade leiteira clique aqui"/>
  </hyperlinks>
  <pageMargins left="0.23622047244094491" right="0.23622047244094491" top="0.39370078740157483" bottom="0.35433070866141736" header="0.31496062992125984" footer="0"/>
  <pageSetup paperSize="9" orientation="landscape" r:id="rId2"/>
  <ignoredErrors>
    <ignoredError sqref="P11 E50" formulaRange="1"/>
    <ignoredError sqref="F11 F12:F24 B12:B23 B7 B41 M41 F6" unlockedFormula="1"/>
    <ignoredError sqref="C41:L41" formula="1" unlockedFormula="1"/>
    <ignoredError sqref="C54:L54 C57:L57 N26 N9" formula="1"/>
  </ignoredError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opLeftCell="A28" workbookViewId="0">
      <selection activeCell="N9" sqref="N9"/>
    </sheetView>
  </sheetViews>
  <sheetFormatPr defaultRowHeight="12.75" x14ac:dyDescent="0.2"/>
  <cols>
    <col min="1" max="1" width="27.140625" customWidth="1"/>
    <col min="2" max="13" width="7.28515625" customWidth="1"/>
    <col min="14" max="16" width="7.7109375" customWidth="1"/>
  </cols>
  <sheetData>
    <row r="1" spans="1:16" ht="21" thickBot="1" x14ac:dyDescent="0.25">
      <c r="A1" s="232" t="s">
        <v>30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</row>
    <row r="2" spans="1:16" ht="18.75" thickBot="1" x14ac:dyDescent="0.25">
      <c r="A2" s="239" t="s">
        <v>7</v>
      </c>
      <c r="B2" s="234" t="s">
        <v>32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6" t="s">
        <v>27</v>
      </c>
      <c r="O2" s="234"/>
      <c r="P2" s="235"/>
    </row>
    <row r="3" spans="1:16" ht="15.75" thickBot="1" x14ac:dyDescent="0.25">
      <c r="A3" s="240"/>
      <c r="B3" s="8" t="s">
        <v>53</v>
      </c>
      <c r="C3" s="9" t="s">
        <v>54</v>
      </c>
      <c r="D3" s="9" t="s">
        <v>55</v>
      </c>
      <c r="E3" s="9" t="s">
        <v>56</v>
      </c>
      <c r="F3" s="9" t="s">
        <v>57</v>
      </c>
      <c r="G3" s="9" t="s">
        <v>58</v>
      </c>
      <c r="H3" s="9" t="s">
        <v>59</v>
      </c>
      <c r="I3" s="9" t="s">
        <v>60</v>
      </c>
      <c r="J3" s="9" t="s">
        <v>61</v>
      </c>
      <c r="K3" s="9" t="s">
        <v>62</v>
      </c>
      <c r="L3" s="9" t="s">
        <v>63</v>
      </c>
      <c r="M3" s="9" t="s">
        <v>64</v>
      </c>
      <c r="N3" s="10" t="s">
        <v>1</v>
      </c>
      <c r="O3" s="11" t="s">
        <v>2</v>
      </c>
      <c r="P3" s="12" t="s">
        <v>0</v>
      </c>
    </row>
    <row r="4" spans="1:16" ht="15" x14ac:dyDescent="0.2">
      <c r="A4" s="13" t="s">
        <v>24</v>
      </c>
      <c r="B4" s="14"/>
      <c r="C4" s="14"/>
      <c r="D4" s="14"/>
      <c r="E4" s="14"/>
      <c r="F4" s="14"/>
      <c r="G4" s="14"/>
      <c r="H4" s="15"/>
      <c r="I4" s="15"/>
      <c r="J4" s="14"/>
      <c r="K4" s="14"/>
      <c r="L4" s="14"/>
      <c r="M4" s="14"/>
      <c r="N4" s="16" t="e">
        <f>AVERAGE(B4:M4)</f>
        <v>#DIV/0!</v>
      </c>
      <c r="O4" s="17"/>
      <c r="P4" s="18"/>
    </row>
    <row r="5" spans="1:16" ht="15" x14ac:dyDescent="0.2">
      <c r="A5" s="269" t="s">
        <v>46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1"/>
    </row>
    <row r="6" spans="1:16" x14ac:dyDescent="0.2">
      <c r="A6" s="73" t="s">
        <v>43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4" t="e">
        <f>AVERAGE(B6:M6)</f>
        <v>#DIV/0!</v>
      </c>
      <c r="O6" s="5" t="e">
        <f>(P6/P9)*100</f>
        <v>#DIV/0!</v>
      </c>
      <c r="P6" s="4">
        <f>SUM(B6:M6)</f>
        <v>0</v>
      </c>
    </row>
    <row r="7" spans="1:16" x14ac:dyDescent="0.2">
      <c r="A7" s="73" t="s">
        <v>44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4" t="e">
        <f t="shared" ref="N7:N8" si="0">AVERAGE(B7:M7)</f>
        <v>#DIV/0!</v>
      </c>
      <c r="O7" s="5" t="e">
        <f>(P7/P9)*100</f>
        <v>#DIV/0!</v>
      </c>
      <c r="P7" s="4">
        <f>SUM(B7:M7)</f>
        <v>0</v>
      </c>
    </row>
    <row r="8" spans="1:16" x14ac:dyDescent="0.2">
      <c r="A8" s="73" t="s">
        <v>45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4" t="e">
        <f t="shared" si="0"/>
        <v>#DIV/0!</v>
      </c>
      <c r="O8" s="5" t="e">
        <f>(P8/P9)*100</f>
        <v>#DIV/0!</v>
      </c>
      <c r="P8" s="4">
        <f t="shared" ref="P8:P9" si="1">SUM(B8:M8)</f>
        <v>0</v>
      </c>
    </row>
    <row r="9" spans="1:16" ht="15" x14ac:dyDescent="0.2">
      <c r="A9" s="19" t="s">
        <v>47</v>
      </c>
      <c r="B9" s="20">
        <f>SUM(B6:B8)</f>
        <v>0</v>
      </c>
      <c r="C9" s="20">
        <f t="shared" ref="C9:M9" si="2">SUM(C6:C8)</f>
        <v>0</v>
      </c>
      <c r="D9" s="20">
        <f t="shared" si="2"/>
        <v>0</v>
      </c>
      <c r="E9" s="20">
        <f t="shared" si="2"/>
        <v>0</v>
      </c>
      <c r="F9" s="20">
        <f t="shared" si="2"/>
        <v>0</v>
      </c>
      <c r="G9" s="20">
        <f t="shared" si="2"/>
        <v>0</v>
      </c>
      <c r="H9" s="20">
        <f t="shared" si="2"/>
        <v>0</v>
      </c>
      <c r="I9" s="20">
        <f t="shared" si="2"/>
        <v>0</v>
      </c>
      <c r="J9" s="20">
        <f t="shared" si="2"/>
        <v>0</v>
      </c>
      <c r="K9" s="20">
        <f t="shared" si="2"/>
        <v>0</v>
      </c>
      <c r="L9" s="20">
        <f t="shared" si="2"/>
        <v>0</v>
      </c>
      <c r="M9" s="20">
        <f t="shared" si="2"/>
        <v>0</v>
      </c>
      <c r="N9" s="4">
        <f>AVERAGE(B9:M9)</f>
        <v>0</v>
      </c>
      <c r="O9" s="50" t="e">
        <f>SUM(O6:O8)</f>
        <v>#DIV/0!</v>
      </c>
      <c r="P9" s="4">
        <f t="shared" si="1"/>
        <v>0</v>
      </c>
    </row>
    <row r="10" spans="1:16" ht="15" x14ac:dyDescent="0.2">
      <c r="A10" s="272" t="s">
        <v>22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4"/>
    </row>
    <row r="11" spans="1:16" x14ac:dyDescent="0.2">
      <c r="A11" s="75" t="s">
        <v>6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4" t="e">
        <f>AVERAGE(B11:M11)</f>
        <v>#DIV/0!</v>
      </c>
      <c r="O11" s="6" t="e">
        <f>(P11/P26)*100</f>
        <v>#DIV/0!</v>
      </c>
      <c r="P11" s="7">
        <f>SUM(B11:M11)</f>
        <v>0</v>
      </c>
    </row>
    <row r="12" spans="1:16" x14ac:dyDescent="0.2">
      <c r="A12" s="75" t="s">
        <v>18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4" t="e">
        <f t="shared" ref="N12:N36" si="3">AVERAGE(B12:M12)</f>
        <v>#DIV/0!</v>
      </c>
      <c r="O12" s="6" t="e">
        <f>(P12/P26)*100</f>
        <v>#DIV/0!</v>
      </c>
      <c r="P12" s="7">
        <f>SUM(B12:M12)</f>
        <v>0</v>
      </c>
    </row>
    <row r="13" spans="1:16" x14ac:dyDescent="0.2">
      <c r="A13" s="75" t="s">
        <v>35</v>
      </c>
      <c r="B13" s="77"/>
      <c r="C13" s="78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4" t="e">
        <f t="shared" si="3"/>
        <v>#DIV/0!</v>
      </c>
      <c r="O13" s="6" t="e">
        <f>(P13/P26)*100</f>
        <v>#DIV/0!</v>
      </c>
      <c r="P13" s="7">
        <f t="shared" ref="P13:P25" si="4">SUM(B13:M13)</f>
        <v>0</v>
      </c>
    </row>
    <row r="14" spans="1:16" x14ac:dyDescent="0.2">
      <c r="A14" s="75" t="s">
        <v>21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4" t="e">
        <f t="shared" si="3"/>
        <v>#DIV/0!</v>
      </c>
      <c r="O14" s="6" t="e">
        <f>(P14/P26)*100</f>
        <v>#DIV/0!</v>
      </c>
      <c r="P14" s="7">
        <f t="shared" si="4"/>
        <v>0</v>
      </c>
    </row>
    <row r="15" spans="1:16" x14ac:dyDescent="0.2">
      <c r="A15" s="75" t="s">
        <v>25</v>
      </c>
      <c r="B15" s="77"/>
      <c r="C15" s="77"/>
      <c r="D15" s="77"/>
      <c r="E15" s="77"/>
      <c r="F15" s="76"/>
      <c r="G15" s="76"/>
      <c r="H15" s="76"/>
      <c r="I15" s="77"/>
      <c r="J15" s="77"/>
      <c r="K15" s="77"/>
      <c r="L15" s="77"/>
      <c r="M15" s="77"/>
      <c r="N15" s="4" t="e">
        <f t="shared" si="3"/>
        <v>#DIV/0!</v>
      </c>
      <c r="O15" s="6" t="e">
        <f>(P15/P26)*100</f>
        <v>#DIV/0!</v>
      </c>
      <c r="P15" s="7">
        <f t="shared" si="4"/>
        <v>0</v>
      </c>
    </row>
    <row r="16" spans="1:16" ht="25.5" x14ac:dyDescent="0.2">
      <c r="A16" s="79" t="s">
        <v>40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4" t="e">
        <f t="shared" si="3"/>
        <v>#DIV/0!</v>
      </c>
      <c r="O16" s="6" t="e">
        <f>(P16/P26)*100</f>
        <v>#DIV/0!</v>
      </c>
      <c r="P16" s="7">
        <f t="shared" si="4"/>
        <v>0</v>
      </c>
    </row>
    <row r="17" spans="1:16" x14ac:dyDescent="0.2">
      <c r="A17" s="75" t="s">
        <v>36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4" t="e">
        <f t="shared" si="3"/>
        <v>#DIV/0!</v>
      </c>
      <c r="O17" s="6" t="e">
        <f>(P17/P26)*100</f>
        <v>#DIV/0!</v>
      </c>
      <c r="P17" s="7">
        <f t="shared" si="4"/>
        <v>0</v>
      </c>
    </row>
    <row r="18" spans="1:16" x14ac:dyDescent="0.2">
      <c r="A18" s="75" t="s">
        <v>37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4" t="e">
        <f t="shared" si="3"/>
        <v>#DIV/0!</v>
      </c>
      <c r="O18" s="6" t="e">
        <f>(P18/P26)*100</f>
        <v>#DIV/0!</v>
      </c>
      <c r="P18" s="7">
        <f t="shared" si="4"/>
        <v>0</v>
      </c>
    </row>
    <row r="19" spans="1:16" x14ac:dyDescent="0.2">
      <c r="A19" s="75" t="s">
        <v>4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4" t="e">
        <f t="shared" si="3"/>
        <v>#DIV/0!</v>
      </c>
      <c r="O19" s="6" t="e">
        <f>(P19/P26)*100</f>
        <v>#DIV/0!</v>
      </c>
      <c r="P19" s="7">
        <f t="shared" si="4"/>
        <v>0</v>
      </c>
    </row>
    <row r="20" spans="1:16" x14ac:dyDescent="0.2">
      <c r="A20" s="75" t="s">
        <v>3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4" t="e">
        <f t="shared" si="3"/>
        <v>#DIV/0!</v>
      </c>
      <c r="O20" s="6" t="e">
        <f>(P20/P26)*100</f>
        <v>#DIV/0!</v>
      </c>
      <c r="P20" s="7">
        <f t="shared" si="4"/>
        <v>0</v>
      </c>
    </row>
    <row r="21" spans="1:16" x14ac:dyDescent="0.2">
      <c r="A21" s="75" t="s">
        <v>17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4" t="e">
        <f t="shared" si="3"/>
        <v>#DIV/0!</v>
      </c>
      <c r="O21" s="6" t="e">
        <f>(P21/P26)*100</f>
        <v>#DIV/0!</v>
      </c>
      <c r="P21" s="7">
        <f t="shared" si="4"/>
        <v>0</v>
      </c>
    </row>
    <row r="22" spans="1:16" x14ac:dyDescent="0.2">
      <c r="A22" s="79" t="s">
        <v>41</v>
      </c>
      <c r="B22" s="77"/>
      <c r="C22" s="77"/>
      <c r="D22" s="77"/>
      <c r="E22" s="77"/>
      <c r="F22" s="77"/>
      <c r="G22" s="80"/>
      <c r="H22" s="77"/>
      <c r="I22" s="77"/>
      <c r="J22" s="77"/>
      <c r="K22" s="77"/>
      <c r="L22" s="77"/>
      <c r="M22" s="77"/>
      <c r="N22" s="4" t="e">
        <f t="shared" si="3"/>
        <v>#DIV/0!</v>
      </c>
      <c r="O22" s="6" t="e">
        <f>(P22/P26)*100</f>
        <v>#DIV/0!</v>
      </c>
      <c r="P22" s="7">
        <f t="shared" si="4"/>
        <v>0</v>
      </c>
    </row>
    <row r="23" spans="1:16" x14ac:dyDescent="0.2">
      <c r="A23" s="75" t="s">
        <v>5</v>
      </c>
      <c r="B23" s="77"/>
      <c r="C23" s="77"/>
      <c r="D23" s="77"/>
      <c r="E23" s="77"/>
      <c r="F23" s="77"/>
      <c r="G23" s="77"/>
      <c r="H23" s="77"/>
      <c r="I23" s="78"/>
      <c r="J23" s="77"/>
      <c r="K23" s="77"/>
      <c r="L23" s="77"/>
      <c r="M23" s="77"/>
      <c r="N23" s="4" t="e">
        <f t="shared" si="3"/>
        <v>#DIV/0!</v>
      </c>
      <c r="O23" s="6" t="e">
        <f>(P23/P26)*100</f>
        <v>#DIV/0!</v>
      </c>
      <c r="P23" s="7">
        <f t="shared" si="4"/>
        <v>0</v>
      </c>
    </row>
    <row r="24" spans="1:16" x14ac:dyDescent="0.2">
      <c r="A24" s="75" t="s">
        <v>19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4" t="e">
        <f t="shared" si="3"/>
        <v>#DIV/0!</v>
      </c>
      <c r="O24" s="6" t="e">
        <f>(P24/P26)*100</f>
        <v>#DIV/0!</v>
      </c>
      <c r="P24" s="7">
        <f t="shared" si="4"/>
        <v>0</v>
      </c>
    </row>
    <row r="25" spans="1:16" ht="25.5" x14ac:dyDescent="0.2">
      <c r="A25" s="81" t="s">
        <v>31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4" t="e">
        <f t="shared" si="3"/>
        <v>#DIV/0!</v>
      </c>
      <c r="O25" s="6" t="e">
        <f>(P25/P26)*100</f>
        <v>#DIV/0!</v>
      </c>
      <c r="P25" s="7">
        <f t="shared" si="4"/>
        <v>0</v>
      </c>
    </row>
    <row r="26" spans="1:16" ht="15" x14ac:dyDescent="0.2">
      <c r="A26" s="21" t="s">
        <v>23</v>
      </c>
      <c r="B26" s="22">
        <f>SUM(B11:B25)</f>
        <v>0</v>
      </c>
      <c r="C26" s="22">
        <f t="shared" ref="C26:M26" si="5">SUM(C11:C25)</f>
        <v>0</v>
      </c>
      <c r="D26" s="22">
        <f t="shared" si="5"/>
        <v>0</v>
      </c>
      <c r="E26" s="22">
        <f t="shared" si="5"/>
        <v>0</v>
      </c>
      <c r="F26" s="22">
        <f t="shared" si="5"/>
        <v>0</v>
      </c>
      <c r="G26" s="22">
        <f t="shared" si="5"/>
        <v>0</v>
      </c>
      <c r="H26" s="22">
        <f t="shared" si="5"/>
        <v>0</v>
      </c>
      <c r="I26" s="22">
        <f t="shared" si="5"/>
        <v>0</v>
      </c>
      <c r="J26" s="22">
        <f t="shared" si="5"/>
        <v>0</v>
      </c>
      <c r="K26" s="22">
        <f t="shared" si="5"/>
        <v>0</v>
      </c>
      <c r="L26" s="22">
        <f t="shared" si="5"/>
        <v>0</v>
      </c>
      <c r="M26" s="22">
        <f t="shared" si="5"/>
        <v>0</v>
      </c>
      <c r="N26" s="23">
        <f t="shared" si="3"/>
        <v>0</v>
      </c>
      <c r="O26" s="24" t="e">
        <f>SUM(O11:O25)</f>
        <v>#DIV/0!</v>
      </c>
      <c r="P26" s="22">
        <f>SUM(P11:P25)</f>
        <v>0</v>
      </c>
    </row>
    <row r="27" spans="1:16" ht="15" x14ac:dyDescent="0.2">
      <c r="A27" s="25" t="s">
        <v>71</v>
      </c>
      <c r="B27" s="26">
        <f>SUM(B9-B26)</f>
        <v>0</v>
      </c>
      <c r="C27" s="26">
        <f t="shared" ref="C27:M27" si="6">SUM(C9-C26)</f>
        <v>0</v>
      </c>
      <c r="D27" s="26">
        <f t="shared" si="6"/>
        <v>0</v>
      </c>
      <c r="E27" s="26">
        <f t="shared" si="6"/>
        <v>0</v>
      </c>
      <c r="F27" s="26">
        <f t="shared" si="6"/>
        <v>0</v>
      </c>
      <c r="G27" s="26">
        <f t="shared" si="6"/>
        <v>0</v>
      </c>
      <c r="H27" s="26">
        <f t="shared" si="6"/>
        <v>0</v>
      </c>
      <c r="I27" s="26">
        <f t="shared" si="6"/>
        <v>0</v>
      </c>
      <c r="J27" s="26">
        <f t="shared" si="6"/>
        <v>0</v>
      </c>
      <c r="K27" s="26">
        <f t="shared" si="6"/>
        <v>0</v>
      </c>
      <c r="L27" s="26">
        <f t="shared" si="6"/>
        <v>0</v>
      </c>
      <c r="M27" s="26">
        <f t="shared" si="6"/>
        <v>0</v>
      </c>
      <c r="N27" s="4">
        <f t="shared" si="3"/>
        <v>0</v>
      </c>
      <c r="O27" s="27"/>
      <c r="P27" s="28"/>
    </row>
    <row r="28" spans="1:16" ht="15" x14ac:dyDescent="0.2">
      <c r="A28" s="29" t="s">
        <v>28</v>
      </c>
      <c r="B28" s="30" t="e">
        <f t="shared" ref="B28:M28" si="7">B26/B40</f>
        <v>#DIV/0!</v>
      </c>
      <c r="C28" s="30" t="e">
        <f t="shared" si="7"/>
        <v>#DIV/0!</v>
      </c>
      <c r="D28" s="30" t="e">
        <f t="shared" si="7"/>
        <v>#DIV/0!</v>
      </c>
      <c r="E28" s="30" t="e">
        <f t="shared" si="7"/>
        <v>#DIV/0!</v>
      </c>
      <c r="F28" s="30" t="e">
        <f t="shared" si="7"/>
        <v>#DIV/0!</v>
      </c>
      <c r="G28" s="30" t="e">
        <f t="shared" si="7"/>
        <v>#DIV/0!</v>
      </c>
      <c r="H28" s="30" t="e">
        <f t="shared" si="7"/>
        <v>#DIV/0!</v>
      </c>
      <c r="I28" s="30" t="e">
        <f t="shared" si="7"/>
        <v>#DIV/0!</v>
      </c>
      <c r="J28" s="30" t="e">
        <f t="shared" si="7"/>
        <v>#DIV/0!</v>
      </c>
      <c r="K28" s="30" t="e">
        <f t="shared" si="7"/>
        <v>#DIV/0!</v>
      </c>
      <c r="L28" s="30" t="e">
        <f t="shared" si="7"/>
        <v>#DIV/0!</v>
      </c>
      <c r="M28" s="30" t="e">
        <f t="shared" si="7"/>
        <v>#DIV/0!</v>
      </c>
      <c r="N28" s="31" t="e">
        <f t="shared" si="3"/>
        <v>#DIV/0!</v>
      </c>
      <c r="O28" s="32"/>
      <c r="P28" s="33"/>
    </row>
    <row r="29" spans="1:16" ht="15" x14ac:dyDescent="0.2">
      <c r="A29" s="29" t="s">
        <v>20</v>
      </c>
      <c r="B29" s="14" t="e">
        <f t="shared" ref="B29:M29" si="8">B4-B28</f>
        <v>#DIV/0!</v>
      </c>
      <c r="C29" s="14" t="e">
        <f t="shared" si="8"/>
        <v>#DIV/0!</v>
      </c>
      <c r="D29" s="14" t="e">
        <f t="shared" si="8"/>
        <v>#DIV/0!</v>
      </c>
      <c r="E29" s="14" t="e">
        <f t="shared" si="8"/>
        <v>#DIV/0!</v>
      </c>
      <c r="F29" s="14" t="e">
        <f t="shared" si="8"/>
        <v>#DIV/0!</v>
      </c>
      <c r="G29" s="14" t="e">
        <f t="shared" si="8"/>
        <v>#DIV/0!</v>
      </c>
      <c r="H29" s="14" t="e">
        <f t="shared" si="8"/>
        <v>#DIV/0!</v>
      </c>
      <c r="I29" s="14" t="e">
        <f t="shared" si="8"/>
        <v>#DIV/0!</v>
      </c>
      <c r="J29" s="14" t="e">
        <f t="shared" si="8"/>
        <v>#DIV/0!</v>
      </c>
      <c r="K29" s="14" t="e">
        <f t="shared" si="8"/>
        <v>#DIV/0!</v>
      </c>
      <c r="L29" s="14" t="e">
        <f t="shared" si="8"/>
        <v>#DIV/0!</v>
      </c>
      <c r="M29" s="14" t="e">
        <f t="shared" si="8"/>
        <v>#DIV/0!</v>
      </c>
      <c r="N29" s="31" t="e">
        <f t="shared" si="3"/>
        <v>#DIV/0!</v>
      </c>
      <c r="O29" s="32"/>
      <c r="P29" s="33"/>
    </row>
    <row r="30" spans="1:16" ht="18" x14ac:dyDescent="0.2">
      <c r="A30" s="263" t="s">
        <v>65</v>
      </c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5"/>
    </row>
    <row r="31" spans="1:16" ht="15" x14ac:dyDescent="0.2">
      <c r="A31" s="266" t="s">
        <v>26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8"/>
    </row>
    <row r="32" spans="1:16" x14ac:dyDescent="0.2">
      <c r="A32" s="82" t="s">
        <v>38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66" t="e">
        <f t="shared" si="3"/>
        <v>#DIV/0!</v>
      </c>
      <c r="O32" s="67"/>
      <c r="P32" s="68">
        <f>SUM(B32:M32)</f>
        <v>0</v>
      </c>
    </row>
    <row r="33" spans="1:16" ht="25.5" x14ac:dyDescent="0.2">
      <c r="A33" s="84" t="s">
        <v>52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4" t="e">
        <f t="shared" si="3"/>
        <v>#DIV/0!</v>
      </c>
      <c r="O33" s="69"/>
      <c r="P33" s="35">
        <f>SUM(B33:M33)</f>
        <v>0</v>
      </c>
    </row>
    <row r="34" spans="1:16" ht="15" x14ac:dyDescent="0.2">
      <c r="A34" s="36" t="s">
        <v>26</v>
      </c>
      <c r="B34" s="70">
        <f t="shared" ref="B34:M34" si="9">SUM(B32+B33+B26)</f>
        <v>0</v>
      </c>
      <c r="C34" s="70">
        <f t="shared" si="9"/>
        <v>0</v>
      </c>
      <c r="D34" s="70">
        <f t="shared" si="9"/>
        <v>0</v>
      </c>
      <c r="E34" s="70">
        <f t="shared" si="9"/>
        <v>0</v>
      </c>
      <c r="F34" s="70">
        <f t="shared" si="9"/>
        <v>0</v>
      </c>
      <c r="G34" s="70">
        <f t="shared" si="9"/>
        <v>0</v>
      </c>
      <c r="H34" s="70">
        <f t="shared" si="9"/>
        <v>0</v>
      </c>
      <c r="I34" s="70">
        <f t="shared" si="9"/>
        <v>0</v>
      </c>
      <c r="J34" s="70">
        <f t="shared" si="9"/>
        <v>0</v>
      </c>
      <c r="K34" s="70">
        <f t="shared" si="9"/>
        <v>0</v>
      </c>
      <c r="L34" s="70">
        <f t="shared" si="9"/>
        <v>0</v>
      </c>
      <c r="M34" s="70">
        <f t="shared" si="9"/>
        <v>0</v>
      </c>
      <c r="N34" s="4">
        <f t="shared" si="3"/>
        <v>0</v>
      </c>
      <c r="O34" s="69"/>
      <c r="P34" s="35">
        <f>SUM(B34:M34)</f>
        <v>0</v>
      </c>
    </row>
    <row r="35" spans="1:16" x14ac:dyDescent="0.2">
      <c r="A35" s="37" t="s">
        <v>33</v>
      </c>
      <c r="B35" s="53" t="e">
        <f t="shared" ref="B35:M35" si="10">B34/B40</f>
        <v>#DIV/0!</v>
      </c>
      <c r="C35" s="53" t="e">
        <f t="shared" si="10"/>
        <v>#DIV/0!</v>
      </c>
      <c r="D35" s="53" t="e">
        <f t="shared" si="10"/>
        <v>#DIV/0!</v>
      </c>
      <c r="E35" s="53" t="e">
        <f t="shared" si="10"/>
        <v>#DIV/0!</v>
      </c>
      <c r="F35" s="53" t="e">
        <f t="shared" si="10"/>
        <v>#DIV/0!</v>
      </c>
      <c r="G35" s="53" t="e">
        <f t="shared" si="10"/>
        <v>#DIV/0!</v>
      </c>
      <c r="H35" s="53" t="e">
        <f t="shared" si="10"/>
        <v>#DIV/0!</v>
      </c>
      <c r="I35" s="53" t="e">
        <f t="shared" si="10"/>
        <v>#DIV/0!</v>
      </c>
      <c r="J35" s="53" t="e">
        <f t="shared" si="10"/>
        <v>#DIV/0!</v>
      </c>
      <c r="K35" s="53" t="e">
        <f t="shared" si="10"/>
        <v>#DIV/0!</v>
      </c>
      <c r="L35" s="53" t="e">
        <f t="shared" si="10"/>
        <v>#DIV/0!</v>
      </c>
      <c r="M35" s="53" t="e">
        <f t="shared" si="10"/>
        <v>#DIV/0!</v>
      </c>
      <c r="N35" s="54" t="e">
        <f t="shared" si="3"/>
        <v>#DIV/0!</v>
      </c>
      <c r="O35" s="52"/>
      <c r="P35" s="52"/>
    </row>
    <row r="36" spans="1:16" x14ac:dyDescent="0.2">
      <c r="A36" s="71" t="s">
        <v>70</v>
      </c>
      <c r="B36" s="72">
        <f>SUM(B9-B34)</f>
        <v>0</v>
      </c>
      <c r="C36" s="72">
        <f t="shared" ref="C36:M36" si="11">SUM(C9-C34)</f>
        <v>0</v>
      </c>
      <c r="D36" s="72">
        <f t="shared" si="11"/>
        <v>0</v>
      </c>
      <c r="E36" s="72">
        <f t="shared" si="11"/>
        <v>0</v>
      </c>
      <c r="F36" s="72">
        <f t="shared" si="11"/>
        <v>0</v>
      </c>
      <c r="G36" s="72">
        <f t="shared" si="11"/>
        <v>0</v>
      </c>
      <c r="H36" s="72">
        <f t="shared" si="11"/>
        <v>0</v>
      </c>
      <c r="I36" s="72">
        <f t="shared" si="11"/>
        <v>0</v>
      </c>
      <c r="J36" s="72">
        <f t="shared" si="11"/>
        <v>0</v>
      </c>
      <c r="K36" s="72">
        <f t="shared" si="11"/>
        <v>0</v>
      </c>
      <c r="L36" s="72">
        <f t="shared" si="11"/>
        <v>0</v>
      </c>
      <c r="M36" s="72">
        <f t="shared" si="11"/>
        <v>0</v>
      </c>
      <c r="N36" s="65">
        <f t="shared" si="3"/>
        <v>0</v>
      </c>
      <c r="O36" s="64"/>
      <c r="P36" s="64"/>
    </row>
    <row r="37" spans="1:16" ht="21" thickBot="1" x14ac:dyDescent="0.25">
      <c r="A37" s="38" t="s">
        <v>30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</row>
    <row r="38" spans="1:16" ht="15.75" thickBot="1" x14ac:dyDescent="0.25">
      <c r="A38" s="253" t="s">
        <v>7</v>
      </c>
      <c r="B38" s="40" t="s">
        <v>53</v>
      </c>
      <c r="C38" s="40" t="s">
        <v>54</v>
      </c>
      <c r="D38" s="40" t="s">
        <v>55</v>
      </c>
      <c r="E38" s="40" t="s">
        <v>56</v>
      </c>
      <c r="F38" s="40" t="s">
        <v>57</v>
      </c>
      <c r="G38" s="40" t="s">
        <v>58</v>
      </c>
      <c r="H38" s="40" t="s">
        <v>59</v>
      </c>
      <c r="I38" s="40" t="s">
        <v>60</v>
      </c>
      <c r="J38" s="40" t="s">
        <v>61</v>
      </c>
      <c r="K38" s="40" t="s">
        <v>62</v>
      </c>
      <c r="L38" s="40" t="s">
        <v>63</v>
      </c>
      <c r="M38" s="40" t="s">
        <v>64</v>
      </c>
      <c r="N38" s="257" t="s">
        <v>1</v>
      </c>
      <c r="O38" s="258"/>
      <c r="P38" s="41" t="s">
        <v>0</v>
      </c>
    </row>
    <row r="39" spans="1:16" ht="18.75" thickBot="1" x14ac:dyDescent="0.25">
      <c r="A39" s="254"/>
      <c r="B39" s="237" t="s">
        <v>29</v>
      </c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75"/>
      <c r="O39" s="276"/>
      <c r="P39" s="42"/>
    </row>
    <row r="40" spans="1:16" ht="15" x14ac:dyDescent="0.25">
      <c r="A40" s="43" t="s">
        <v>49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259" t="e">
        <f t="shared" ref="N40:N59" si="12">AVERAGE(B40:M40)</f>
        <v>#DIV/0!</v>
      </c>
      <c r="O40" s="260"/>
      <c r="P40" s="35">
        <f>SUM(B40:M40)</f>
        <v>0</v>
      </c>
    </row>
    <row r="41" spans="1:16" ht="15" x14ac:dyDescent="0.25">
      <c r="A41" s="43" t="s">
        <v>48</v>
      </c>
      <c r="B41" s="86">
        <f>SUM(B40/31)</f>
        <v>0</v>
      </c>
      <c r="C41" s="86">
        <f>SUM(C40/28)</f>
        <v>0</v>
      </c>
      <c r="D41" s="86">
        <f t="shared" ref="D41:M41" si="13">SUM(D40/31)</f>
        <v>0</v>
      </c>
      <c r="E41" s="86">
        <f>SUM(E40/30)</f>
        <v>0</v>
      </c>
      <c r="F41" s="86">
        <f t="shared" si="13"/>
        <v>0</v>
      </c>
      <c r="G41" s="86">
        <f>SUM(G40/30)</f>
        <v>0</v>
      </c>
      <c r="H41" s="86">
        <f t="shared" si="13"/>
        <v>0</v>
      </c>
      <c r="I41" s="86">
        <f>SUM(I40/31)</f>
        <v>0</v>
      </c>
      <c r="J41" s="86">
        <f>SUM(J40/30)</f>
        <v>0</v>
      </c>
      <c r="K41" s="86">
        <f t="shared" si="13"/>
        <v>0</v>
      </c>
      <c r="L41" s="86">
        <f>SUM(L40/30)</f>
        <v>0</v>
      </c>
      <c r="M41" s="86">
        <f t="shared" si="13"/>
        <v>0</v>
      </c>
      <c r="N41" s="259">
        <f>AVERAGE(B41:M41)</f>
        <v>0</v>
      </c>
      <c r="O41" s="260"/>
      <c r="P41" s="35"/>
    </row>
    <row r="42" spans="1:16" ht="14.25" x14ac:dyDescent="0.2">
      <c r="A42" s="45" t="s">
        <v>15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259" t="e">
        <f t="shared" si="12"/>
        <v>#DIV/0!</v>
      </c>
      <c r="O42" s="260"/>
      <c r="P42" s="34"/>
    </row>
    <row r="43" spans="1:16" ht="14.25" x14ac:dyDescent="0.2">
      <c r="A43" s="45" t="s">
        <v>14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259" t="e">
        <f t="shared" si="12"/>
        <v>#DIV/0!</v>
      </c>
      <c r="O43" s="260"/>
      <c r="P43" s="34"/>
    </row>
    <row r="44" spans="1:16" ht="26.25" x14ac:dyDescent="0.2">
      <c r="A44" s="51" t="s">
        <v>50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259" t="e">
        <f t="shared" si="12"/>
        <v>#DIV/0!</v>
      </c>
      <c r="O44" s="260"/>
      <c r="P44" s="34"/>
    </row>
    <row r="45" spans="1:16" ht="26.25" x14ac:dyDescent="0.2">
      <c r="A45" s="51" t="s">
        <v>51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259" t="e">
        <f t="shared" si="12"/>
        <v>#DIV/0!</v>
      </c>
      <c r="O45" s="260"/>
      <c r="P45" s="34"/>
    </row>
    <row r="46" spans="1:16" ht="14.25" x14ac:dyDescent="0.2">
      <c r="A46" s="45" t="s">
        <v>16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259" t="e">
        <f t="shared" si="12"/>
        <v>#DIV/0!</v>
      </c>
      <c r="O46" s="260"/>
      <c r="P46" s="34"/>
    </row>
    <row r="47" spans="1:16" ht="14.25" x14ac:dyDescent="0.2">
      <c r="A47" s="45" t="s">
        <v>11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259" t="e">
        <f t="shared" si="12"/>
        <v>#DIV/0!</v>
      </c>
      <c r="O47" s="260"/>
      <c r="P47" s="34"/>
    </row>
    <row r="48" spans="1:16" ht="14.25" x14ac:dyDescent="0.2">
      <c r="A48" s="45" t="s">
        <v>12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259" t="e">
        <f t="shared" si="12"/>
        <v>#DIV/0!</v>
      </c>
      <c r="O48" s="260"/>
      <c r="P48" s="34"/>
    </row>
    <row r="49" spans="1:16" ht="14.25" x14ac:dyDescent="0.2">
      <c r="A49" s="45" t="s">
        <v>13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259" t="e">
        <f t="shared" si="12"/>
        <v>#DIV/0!</v>
      </c>
      <c r="O49" s="260"/>
      <c r="P49" s="34"/>
    </row>
    <row r="50" spans="1:16" ht="15" x14ac:dyDescent="0.25">
      <c r="A50" s="43" t="s">
        <v>8</v>
      </c>
      <c r="B50" s="88">
        <f>SUM(B42:B49)</f>
        <v>0</v>
      </c>
      <c r="C50" s="88">
        <f t="shared" ref="C50:M50" si="14">SUM(C42:C49)</f>
        <v>0</v>
      </c>
      <c r="D50" s="88">
        <f t="shared" si="14"/>
        <v>0</v>
      </c>
      <c r="E50" s="88">
        <f t="shared" si="14"/>
        <v>0</v>
      </c>
      <c r="F50" s="88">
        <f t="shared" si="14"/>
        <v>0</v>
      </c>
      <c r="G50" s="88">
        <f t="shared" si="14"/>
        <v>0</v>
      </c>
      <c r="H50" s="88">
        <f t="shared" si="14"/>
        <v>0</v>
      </c>
      <c r="I50" s="88">
        <f t="shared" si="14"/>
        <v>0</v>
      </c>
      <c r="J50" s="88">
        <f t="shared" si="14"/>
        <v>0</v>
      </c>
      <c r="K50" s="88">
        <f t="shared" si="14"/>
        <v>0</v>
      </c>
      <c r="L50" s="88">
        <f t="shared" si="14"/>
        <v>0</v>
      </c>
      <c r="M50" s="88">
        <f t="shared" si="14"/>
        <v>0</v>
      </c>
      <c r="N50" s="259">
        <f>AVERAGE(B50:M50)</f>
        <v>0</v>
      </c>
      <c r="O50" s="260"/>
      <c r="P50" s="34"/>
    </row>
    <row r="51" spans="1:16" ht="15" x14ac:dyDescent="0.25">
      <c r="A51" s="43" t="s">
        <v>42</v>
      </c>
      <c r="B51" s="44">
        <f>SUM(B48+B49)</f>
        <v>0</v>
      </c>
      <c r="C51" s="44">
        <f t="shared" ref="C51:M51" si="15">SUM(C48+C49)</f>
        <v>0</v>
      </c>
      <c r="D51" s="44">
        <f t="shared" si="15"/>
        <v>0</v>
      </c>
      <c r="E51" s="44">
        <f t="shared" si="15"/>
        <v>0</v>
      </c>
      <c r="F51" s="44">
        <f t="shared" si="15"/>
        <v>0</v>
      </c>
      <c r="G51" s="44">
        <f t="shared" si="15"/>
        <v>0</v>
      </c>
      <c r="H51" s="44">
        <f t="shared" si="15"/>
        <v>0</v>
      </c>
      <c r="I51" s="44">
        <f t="shared" si="15"/>
        <v>0</v>
      </c>
      <c r="J51" s="44">
        <f t="shared" si="15"/>
        <v>0</v>
      </c>
      <c r="K51" s="44">
        <f t="shared" si="15"/>
        <v>0</v>
      </c>
      <c r="L51" s="44">
        <f t="shared" si="15"/>
        <v>0</v>
      </c>
      <c r="M51" s="44">
        <f t="shared" si="15"/>
        <v>0</v>
      </c>
      <c r="N51" s="259">
        <f t="shared" si="12"/>
        <v>0</v>
      </c>
      <c r="O51" s="260"/>
      <c r="P51" s="34"/>
    </row>
    <row r="52" spans="1:16" ht="14.25" x14ac:dyDescent="0.2">
      <c r="A52" s="45" t="s">
        <v>66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259" t="e">
        <f t="shared" si="12"/>
        <v>#DIV/0!</v>
      </c>
      <c r="O52" s="260"/>
      <c r="P52" s="34"/>
    </row>
    <row r="53" spans="1:16" ht="13.5" x14ac:dyDescent="0.2">
      <c r="A53" s="55" t="s">
        <v>67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259" t="e">
        <f t="shared" si="12"/>
        <v>#DIV/0!</v>
      </c>
      <c r="O53" s="260"/>
      <c r="P53" s="34"/>
    </row>
    <row r="54" spans="1:16" ht="15" x14ac:dyDescent="0.25">
      <c r="A54" s="43" t="s">
        <v>34</v>
      </c>
      <c r="B54" s="46" t="e">
        <f>SUM(B48+B49)/B50*100</f>
        <v>#DIV/0!</v>
      </c>
      <c r="C54" s="46" t="e">
        <f t="shared" ref="C54:M54" si="16">SUM(C48+C49)/C50*100</f>
        <v>#DIV/0!</v>
      </c>
      <c r="D54" s="46" t="e">
        <f t="shared" si="16"/>
        <v>#DIV/0!</v>
      </c>
      <c r="E54" s="46" t="e">
        <f t="shared" si="16"/>
        <v>#DIV/0!</v>
      </c>
      <c r="F54" s="46" t="e">
        <f t="shared" si="16"/>
        <v>#DIV/0!</v>
      </c>
      <c r="G54" s="46" t="e">
        <f t="shared" si="16"/>
        <v>#DIV/0!</v>
      </c>
      <c r="H54" s="46" t="e">
        <f t="shared" si="16"/>
        <v>#DIV/0!</v>
      </c>
      <c r="I54" s="46" t="e">
        <f t="shared" si="16"/>
        <v>#DIV/0!</v>
      </c>
      <c r="J54" s="46" t="e">
        <f t="shared" si="16"/>
        <v>#DIV/0!</v>
      </c>
      <c r="K54" s="46" t="e">
        <f t="shared" si="16"/>
        <v>#DIV/0!</v>
      </c>
      <c r="L54" s="46" t="e">
        <f t="shared" si="16"/>
        <v>#DIV/0!</v>
      </c>
      <c r="M54" s="46" t="e">
        <f t="shared" si="16"/>
        <v>#DIV/0!</v>
      </c>
      <c r="N54" s="261" t="e">
        <f>AVERAGE(B54:M54)</f>
        <v>#DIV/0!</v>
      </c>
      <c r="O54" s="262"/>
      <c r="P54" s="34"/>
    </row>
    <row r="55" spans="1:16" ht="15" x14ac:dyDescent="0.25">
      <c r="A55" s="43" t="s">
        <v>9</v>
      </c>
      <c r="B55" s="44" t="e">
        <f>B49/B51*100</f>
        <v>#DIV/0!</v>
      </c>
      <c r="C55" s="44" t="e">
        <f t="shared" ref="C55:M55" si="17">C49/C51*100</f>
        <v>#DIV/0!</v>
      </c>
      <c r="D55" s="44" t="e">
        <f t="shared" si="17"/>
        <v>#DIV/0!</v>
      </c>
      <c r="E55" s="44" t="e">
        <f t="shared" si="17"/>
        <v>#DIV/0!</v>
      </c>
      <c r="F55" s="44" t="e">
        <f t="shared" si="17"/>
        <v>#DIV/0!</v>
      </c>
      <c r="G55" s="44" t="e">
        <f t="shared" si="17"/>
        <v>#DIV/0!</v>
      </c>
      <c r="H55" s="44" t="e">
        <f t="shared" si="17"/>
        <v>#DIV/0!</v>
      </c>
      <c r="I55" s="44" t="e">
        <f t="shared" si="17"/>
        <v>#DIV/0!</v>
      </c>
      <c r="J55" s="44" t="e">
        <f t="shared" si="17"/>
        <v>#DIV/0!</v>
      </c>
      <c r="K55" s="44" t="e">
        <f t="shared" si="17"/>
        <v>#DIV/0!</v>
      </c>
      <c r="L55" s="44" t="e">
        <f t="shared" si="17"/>
        <v>#DIV/0!</v>
      </c>
      <c r="M55" s="44" t="e">
        <f t="shared" si="17"/>
        <v>#DIV/0!</v>
      </c>
      <c r="N55" s="259" t="e">
        <f t="shared" si="12"/>
        <v>#DIV/0!</v>
      </c>
      <c r="O55" s="260"/>
      <c r="P55" s="34"/>
    </row>
    <row r="56" spans="1:16" ht="15" x14ac:dyDescent="0.25">
      <c r="A56" s="43" t="s">
        <v>10</v>
      </c>
      <c r="B56" s="46" t="e">
        <f>SUM(B40/B49)/31</f>
        <v>#DIV/0!</v>
      </c>
      <c r="C56" s="46" t="e">
        <f>SUM(C40/C49)/28</f>
        <v>#DIV/0!</v>
      </c>
      <c r="D56" s="46" t="e">
        <f>SUM(D40/D49)/31</f>
        <v>#DIV/0!</v>
      </c>
      <c r="E56" s="46" t="e">
        <f>SUM(E40/E49)/30</f>
        <v>#DIV/0!</v>
      </c>
      <c r="F56" s="46" t="e">
        <f>SUM(F40/F49)/31</f>
        <v>#DIV/0!</v>
      </c>
      <c r="G56" s="46" t="e">
        <f>SUM(G40/G49)/30</f>
        <v>#DIV/0!</v>
      </c>
      <c r="H56" s="46" t="e">
        <f>SUM(H40/H49)/31</f>
        <v>#DIV/0!</v>
      </c>
      <c r="I56" s="46" t="e">
        <f>SUM(I40/I49)/31</f>
        <v>#DIV/0!</v>
      </c>
      <c r="J56" s="46" t="e">
        <f>SUM(J40/J49)/30</f>
        <v>#DIV/0!</v>
      </c>
      <c r="K56" s="46" t="e">
        <f>SUM(K40/K49)/31</f>
        <v>#DIV/0!</v>
      </c>
      <c r="L56" s="46" t="e">
        <f>SUM(L40/L49)/30</f>
        <v>#DIV/0!</v>
      </c>
      <c r="M56" s="46" t="e">
        <f>SUM(M40/M49)/31</f>
        <v>#DIV/0!</v>
      </c>
      <c r="N56" s="261" t="e">
        <f t="shared" si="12"/>
        <v>#DIV/0!</v>
      </c>
      <c r="O56" s="262"/>
      <c r="P56" s="34"/>
    </row>
    <row r="57" spans="1:16" ht="15" x14ac:dyDescent="0.25">
      <c r="A57" s="47" t="s">
        <v>68</v>
      </c>
      <c r="B57" s="44" t="e">
        <f>SUM(B40/B52)</f>
        <v>#DIV/0!</v>
      </c>
      <c r="C57" s="44" t="e">
        <f t="shared" ref="C57:M57" si="18">SUM(C40/C52)</f>
        <v>#DIV/0!</v>
      </c>
      <c r="D57" s="44" t="e">
        <f t="shared" si="18"/>
        <v>#DIV/0!</v>
      </c>
      <c r="E57" s="44" t="e">
        <f t="shared" si="18"/>
        <v>#DIV/0!</v>
      </c>
      <c r="F57" s="44" t="e">
        <f t="shared" si="18"/>
        <v>#DIV/0!</v>
      </c>
      <c r="G57" s="44" t="e">
        <f t="shared" si="18"/>
        <v>#DIV/0!</v>
      </c>
      <c r="H57" s="44" t="e">
        <f t="shared" si="18"/>
        <v>#DIV/0!</v>
      </c>
      <c r="I57" s="44" t="e">
        <f t="shared" si="18"/>
        <v>#DIV/0!</v>
      </c>
      <c r="J57" s="44" t="e">
        <f t="shared" si="18"/>
        <v>#DIV/0!</v>
      </c>
      <c r="K57" s="44" t="e">
        <f t="shared" si="18"/>
        <v>#DIV/0!</v>
      </c>
      <c r="L57" s="44" t="e">
        <f t="shared" si="18"/>
        <v>#DIV/0!</v>
      </c>
      <c r="M57" s="44" t="e">
        <f t="shared" si="18"/>
        <v>#DIV/0!</v>
      </c>
      <c r="N57" s="259" t="e">
        <f t="shared" si="12"/>
        <v>#DIV/0!</v>
      </c>
      <c r="O57" s="260"/>
      <c r="P57" s="34"/>
    </row>
    <row r="58" spans="1:16" ht="15" x14ac:dyDescent="0.25">
      <c r="A58" s="43" t="s">
        <v>72</v>
      </c>
      <c r="B58" s="44" t="e">
        <f>SUM(B40/B53)</f>
        <v>#DIV/0!</v>
      </c>
      <c r="C58" s="44" t="e">
        <f t="shared" ref="C58:M58" si="19">SUM(C40/C53)</f>
        <v>#DIV/0!</v>
      </c>
      <c r="D58" s="44" t="e">
        <f t="shared" si="19"/>
        <v>#DIV/0!</v>
      </c>
      <c r="E58" s="44" t="e">
        <f t="shared" si="19"/>
        <v>#DIV/0!</v>
      </c>
      <c r="F58" s="44" t="e">
        <f t="shared" si="19"/>
        <v>#DIV/0!</v>
      </c>
      <c r="G58" s="44" t="e">
        <f t="shared" si="19"/>
        <v>#DIV/0!</v>
      </c>
      <c r="H58" s="44" t="e">
        <f t="shared" si="19"/>
        <v>#DIV/0!</v>
      </c>
      <c r="I58" s="44" t="e">
        <f t="shared" si="19"/>
        <v>#DIV/0!</v>
      </c>
      <c r="J58" s="44" t="e">
        <f t="shared" si="19"/>
        <v>#DIV/0!</v>
      </c>
      <c r="K58" s="44" t="e">
        <f t="shared" si="19"/>
        <v>#DIV/0!</v>
      </c>
      <c r="L58" s="44" t="e">
        <f t="shared" si="19"/>
        <v>#DIV/0!</v>
      </c>
      <c r="M58" s="44" t="e">
        <f t="shared" si="19"/>
        <v>#DIV/0!</v>
      </c>
      <c r="N58" s="259" t="e">
        <f t="shared" si="12"/>
        <v>#DIV/0!</v>
      </c>
      <c r="O58" s="260"/>
      <c r="P58" s="34"/>
    </row>
    <row r="59" spans="1:16" ht="15" x14ac:dyDescent="0.25">
      <c r="A59" s="43" t="s">
        <v>73</v>
      </c>
      <c r="B59" s="44" t="e">
        <f t="shared" ref="B59:M59" si="20">B58*12</f>
        <v>#DIV/0!</v>
      </c>
      <c r="C59" s="44" t="e">
        <f t="shared" si="20"/>
        <v>#DIV/0!</v>
      </c>
      <c r="D59" s="44" t="e">
        <f t="shared" si="20"/>
        <v>#DIV/0!</v>
      </c>
      <c r="E59" s="44" t="e">
        <f t="shared" si="20"/>
        <v>#DIV/0!</v>
      </c>
      <c r="F59" s="44" t="e">
        <f t="shared" si="20"/>
        <v>#DIV/0!</v>
      </c>
      <c r="G59" s="44" t="e">
        <f t="shared" si="20"/>
        <v>#DIV/0!</v>
      </c>
      <c r="H59" s="44" t="e">
        <f t="shared" si="20"/>
        <v>#DIV/0!</v>
      </c>
      <c r="I59" s="44" t="e">
        <f t="shared" si="20"/>
        <v>#DIV/0!</v>
      </c>
      <c r="J59" s="44" t="e">
        <f t="shared" si="20"/>
        <v>#DIV/0!</v>
      </c>
      <c r="K59" s="44" t="e">
        <f t="shared" si="20"/>
        <v>#DIV/0!</v>
      </c>
      <c r="L59" s="44" t="e">
        <f t="shared" si="20"/>
        <v>#DIV/0!</v>
      </c>
      <c r="M59" s="44" t="e">
        <f t="shared" si="20"/>
        <v>#DIV/0!</v>
      </c>
      <c r="N59" s="259" t="e">
        <f t="shared" si="12"/>
        <v>#DIV/0!</v>
      </c>
      <c r="O59" s="260"/>
      <c r="P59" s="34"/>
    </row>
    <row r="60" spans="1:16" ht="15" x14ac:dyDescent="0.25">
      <c r="A60" s="43" t="s">
        <v>39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259" t="e">
        <f t="shared" ref="N60" si="21">AVERAGE(B60:M60)</f>
        <v>#DIV/0!</v>
      </c>
      <c r="O60" s="260"/>
      <c r="P60" s="49"/>
    </row>
    <row r="61" spans="1:16" ht="15" x14ac:dyDescent="0.2">
      <c r="A61" s="63" t="s">
        <v>69</v>
      </c>
    </row>
  </sheetData>
  <mergeCells count="33">
    <mergeCell ref="A30:P30"/>
    <mergeCell ref="A31:P31"/>
    <mergeCell ref="A38:A39"/>
    <mergeCell ref="B39:M39"/>
    <mergeCell ref="A1:P1"/>
    <mergeCell ref="A2:A3"/>
    <mergeCell ref="B2:M2"/>
    <mergeCell ref="N2:P2"/>
    <mergeCell ref="A5:P5"/>
    <mergeCell ref="A10:P10"/>
    <mergeCell ref="N38:O38"/>
    <mergeCell ref="N39:O39"/>
    <mergeCell ref="N40:O40"/>
    <mergeCell ref="N41:O41"/>
    <mergeCell ref="N42:O42"/>
    <mergeCell ref="N43:O43"/>
    <mergeCell ref="N44:O44"/>
    <mergeCell ref="N45:O45"/>
    <mergeCell ref="N46:O46"/>
    <mergeCell ref="N47:O47"/>
    <mergeCell ref="N48:O48"/>
    <mergeCell ref="N49:O49"/>
    <mergeCell ref="N50:O50"/>
    <mergeCell ref="N51:O51"/>
    <mergeCell ref="N52:O52"/>
    <mergeCell ref="N53:O53"/>
    <mergeCell ref="N54:O54"/>
    <mergeCell ref="N60:O60"/>
    <mergeCell ref="N55:O55"/>
    <mergeCell ref="N56:O56"/>
    <mergeCell ref="N57:O57"/>
    <mergeCell ref="N58:O58"/>
    <mergeCell ref="N59:O59"/>
  </mergeCells>
  <pageMargins left="0.23622047244094491" right="0.23622047244094491" top="0.39370078740157483" bottom="0.35433070866141736" header="0.31496062992125984" footer="0.31496062992125984"/>
  <pageSetup paperSize="9" orientation="landscape" r:id="rId1"/>
  <ignoredErrors>
    <ignoredError sqref="B28:N29 A4:P8 N32:N33 B35:N35 N40:O60 B54:M55 B57:M59 B56 M56 A10:P25 A9:M9 O9:P9" evalError="1"/>
    <ignoredError sqref="N26" formula="1"/>
    <ignoredError sqref="O26 C56:L56 N9" evalError="1" formula="1"/>
    <ignoredError sqref="B41 M41" unlockedFormula="1"/>
    <ignoredError sqref="C41:L41" formula="1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 preenchida</vt:lpstr>
      <vt:lpstr>Planilha em branco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Dell Op</cp:lastModifiedBy>
  <cp:lastPrinted>2016-08-31T17:25:35Z</cp:lastPrinted>
  <dcterms:created xsi:type="dcterms:W3CDTF">2003-11-23T02:36:14Z</dcterms:created>
  <dcterms:modified xsi:type="dcterms:W3CDTF">2017-04-05T13:53:55Z</dcterms:modified>
</cp:coreProperties>
</file>